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A1ABAD7-BA47-41D7-A80D-4835ACB7A0FC}" xr6:coauthVersionLast="47" xr6:coauthVersionMax="47" xr10:uidLastSave="{00000000-0000-0000-0000-000000000000}"/>
  <bookViews>
    <workbookView xWindow="-120" yWindow="-120" windowWidth="38640" windowHeight="21240" activeTab="4" xr2:uid="{00000000-000D-0000-FFFF-FFFF00000000}"/>
  </bookViews>
  <sheets>
    <sheet name="Оглавление" sheetId="8" r:id="rId1"/>
    <sheet name="Инвестиции" sheetId="7" r:id="rId2"/>
    <sheet name="Кредитный расчет" sheetId="5" r:id="rId3"/>
    <sheet name="План доходов и расходов" sheetId="6" r:id="rId4"/>
    <sheet name="Финансовая модель" sheetId="4" r:id="rId5"/>
  </sheets>
  <definedNames>
    <definedName name="Доля_LVL">#REF!</definedName>
    <definedName name="Доля_кредитного">#REF!</definedName>
    <definedName name="Доля_Фанеры">#REF!</definedName>
    <definedName name="Инвестиции">Инвестиции!$B$9</definedName>
    <definedName name="Курс_доллара">#REF!</definedName>
    <definedName name="Производственная_мощность">#REF!</definedName>
    <definedName name="Тепло">#REF!</definedName>
    <definedName name="Электричество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4" l="1"/>
  <c r="A11" i="4"/>
  <c r="A10" i="4"/>
  <c r="C17" i="4" l="1"/>
  <c r="J8" i="5"/>
  <c r="H9" i="4"/>
  <c r="B9" i="4" s="1"/>
  <c r="C9" i="4" s="1"/>
  <c r="D9" i="4" s="1"/>
  <c r="E9" i="4" s="1"/>
  <c r="F9" i="4" s="1"/>
  <c r="B15" i="4"/>
  <c r="C15" i="4" s="1"/>
  <c r="D15" i="4" s="1"/>
  <c r="E15" i="4" s="1"/>
  <c r="F15" i="4" s="1"/>
  <c r="B13" i="4"/>
  <c r="C13" i="4" s="1"/>
  <c r="D13" i="4" s="1"/>
  <c r="E13" i="4" s="1"/>
  <c r="F13" i="4" s="1"/>
  <c r="B12" i="4"/>
  <c r="C12" i="4" s="1"/>
  <c r="D12" i="4" s="1"/>
  <c r="E12" i="4" s="1"/>
  <c r="F12" i="4" s="1"/>
  <c r="B11" i="4"/>
  <c r="C11" i="4" s="1"/>
  <c r="D11" i="4" s="1"/>
  <c r="E11" i="4" s="1"/>
  <c r="F11" i="4" s="1"/>
  <c r="B10" i="4"/>
  <c r="C10" i="4" s="1"/>
  <c r="D10" i="4" s="1"/>
  <c r="E10" i="4" s="1"/>
  <c r="F10" i="4" s="1"/>
  <c r="B7" i="4"/>
  <c r="C7" i="4" s="1"/>
  <c r="C18" i="4" s="1"/>
  <c r="D20" i="4"/>
  <c r="E20" i="4"/>
  <c r="F20" i="4"/>
  <c r="C20" i="4"/>
  <c r="J6" i="5"/>
  <c r="M5" i="5"/>
  <c r="L5" i="5"/>
  <c r="K5" i="5"/>
  <c r="J5" i="5"/>
  <c r="B1" i="4"/>
  <c r="D1" i="4" s="1"/>
  <c r="B25" i="4" s="1"/>
  <c r="B3" i="5"/>
  <c r="C36" i="5" s="1"/>
  <c r="B2" i="5"/>
  <c r="C12" i="7"/>
  <c r="B12" i="7"/>
  <c r="C11" i="7"/>
  <c r="B11" i="7"/>
  <c r="C10" i="7"/>
  <c r="B10" i="7"/>
  <c r="B9" i="7"/>
  <c r="B8" i="7"/>
  <c r="C30" i="6"/>
  <c r="D30" i="6"/>
  <c r="E30" i="6"/>
  <c r="F30" i="6"/>
  <c r="G30" i="6"/>
  <c r="H30" i="6"/>
  <c r="I30" i="6"/>
  <c r="J30" i="6"/>
  <c r="K30" i="6"/>
  <c r="L30" i="6"/>
  <c r="M30" i="6"/>
  <c r="C31" i="6"/>
  <c r="D31" i="6"/>
  <c r="E31" i="6"/>
  <c r="F31" i="6"/>
  <c r="G31" i="6"/>
  <c r="H31" i="6"/>
  <c r="I31" i="6"/>
  <c r="J31" i="6"/>
  <c r="K31" i="6"/>
  <c r="L31" i="6"/>
  <c r="M31" i="6"/>
  <c r="B31" i="6"/>
  <c r="B30" i="6"/>
  <c r="C29" i="6"/>
  <c r="D29" i="6"/>
  <c r="E29" i="6"/>
  <c r="F29" i="6"/>
  <c r="G29" i="6"/>
  <c r="H29" i="6"/>
  <c r="I29" i="6"/>
  <c r="J29" i="6"/>
  <c r="K29" i="6"/>
  <c r="L29" i="6"/>
  <c r="M29" i="6"/>
  <c r="B29" i="6"/>
  <c r="C28" i="6"/>
  <c r="D28" i="6"/>
  <c r="E28" i="6"/>
  <c r="F28" i="6"/>
  <c r="G28" i="6"/>
  <c r="H28" i="6"/>
  <c r="I28" i="6"/>
  <c r="J28" i="6"/>
  <c r="K28" i="6"/>
  <c r="L28" i="6"/>
  <c r="M28" i="6"/>
  <c r="B28" i="6"/>
  <c r="C27" i="6"/>
  <c r="D27" i="6"/>
  <c r="E27" i="6"/>
  <c r="F27" i="6"/>
  <c r="G27" i="6"/>
  <c r="H27" i="6"/>
  <c r="I27" i="6"/>
  <c r="J27" i="6"/>
  <c r="K27" i="6"/>
  <c r="L27" i="6"/>
  <c r="M27" i="6"/>
  <c r="B27" i="6"/>
  <c r="C26" i="6"/>
  <c r="D26" i="6"/>
  <c r="E26" i="6"/>
  <c r="F26" i="6"/>
  <c r="G26" i="6"/>
  <c r="H26" i="6"/>
  <c r="I26" i="6"/>
  <c r="J26" i="6"/>
  <c r="K26" i="6"/>
  <c r="L26" i="6"/>
  <c r="M26" i="6"/>
  <c r="B26" i="6"/>
  <c r="H4" i="6"/>
  <c r="I4" i="6" s="1"/>
  <c r="H5" i="6"/>
  <c r="I5" i="6" s="1"/>
  <c r="H6" i="6"/>
  <c r="I6" i="6" s="1"/>
  <c r="H7" i="6"/>
  <c r="I7" i="6" s="1"/>
  <c r="H8" i="6"/>
  <c r="I8" i="6" s="1"/>
  <c r="H9" i="6"/>
  <c r="I9" i="6" s="1"/>
  <c r="H10" i="6"/>
  <c r="I10" i="6" s="1"/>
  <c r="H11" i="6"/>
  <c r="H3" i="6"/>
  <c r="I3" i="6" s="1"/>
  <c r="B37" i="6"/>
  <c r="B40" i="6" s="1"/>
  <c r="F31" i="4"/>
  <c r="E31" i="4"/>
  <c r="D31" i="4"/>
  <c r="C31" i="4"/>
  <c r="B31" i="4"/>
  <c r="F8" i="4" l="1"/>
  <c r="C8" i="4"/>
  <c r="C14" i="4" s="1"/>
  <c r="C16" i="4" s="1"/>
  <c r="E8" i="4"/>
  <c r="D8" i="4"/>
  <c r="B32" i="4"/>
  <c r="B26" i="4"/>
  <c r="B33" i="4" s="1"/>
  <c r="B16" i="5"/>
  <c r="B32" i="5"/>
  <c r="B48" i="5"/>
  <c r="B7" i="5"/>
  <c r="C7" i="5" s="1"/>
  <c r="C16" i="5"/>
  <c r="C28" i="5"/>
  <c r="C32" i="5"/>
  <c r="C40" i="5"/>
  <c r="C44" i="5"/>
  <c r="C48" i="5"/>
  <c r="C52" i="5"/>
  <c r="C56" i="5"/>
  <c r="B9" i="5"/>
  <c r="B13" i="5"/>
  <c r="B17" i="5"/>
  <c r="B21" i="5"/>
  <c r="B25" i="5"/>
  <c r="B29" i="5"/>
  <c r="B33" i="5"/>
  <c r="B37" i="5"/>
  <c r="B41" i="5"/>
  <c r="B45" i="5"/>
  <c r="B49" i="5"/>
  <c r="B53" i="5"/>
  <c r="C9" i="5"/>
  <c r="C13" i="5"/>
  <c r="C17" i="5"/>
  <c r="C21" i="5"/>
  <c r="C25" i="5"/>
  <c r="C29" i="5"/>
  <c r="C33" i="5"/>
  <c r="C37" i="5"/>
  <c r="C41" i="5"/>
  <c r="C45" i="5"/>
  <c r="C49" i="5"/>
  <c r="C53" i="5"/>
  <c r="B28" i="5"/>
  <c r="D28" i="5" s="1"/>
  <c r="C20" i="5"/>
  <c r="B10" i="5"/>
  <c r="B14" i="5"/>
  <c r="B22" i="5"/>
  <c r="B26" i="5"/>
  <c r="B34" i="5"/>
  <c r="B42" i="5"/>
  <c r="B54" i="5"/>
  <c r="C10" i="5"/>
  <c r="C22" i="5"/>
  <c r="C38" i="5"/>
  <c r="C50" i="5"/>
  <c r="B12" i="5"/>
  <c r="B36" i="5"/>
  <c r="D36" i="5" s="1"/>
  <c r="B56" i="5"/>
  <c r="C12" i="5"/>
  <c r="C24" i="5"/>
  <c r="B38" i="5"/>
  <c r="B46" i="5"/>
  <c r="C18" i="5"/>
  <c r="C26" i="5"/>
  <c r="C34" i="5"/>
  <c r="C42" i="5"/>
  <c r="C46" i="5"/>
  <c r="C54" i="5"/>
  <c r="B11" i="5"/>
  <c r="B15" i="5"/>
  <c r="B19" i="5"/>
  <c r="B23" i="5"/>
  <c r="B27" i="5"/>
  <c r="B31" i="5"/>
  <c r="B35" i="5"/>
  <c r="D35" i="5" s="1"/>
  <c r="B39" i="5"/>
  <c r="D39" i="5" s="1"/>
  <c r="B43" i="5"/>
  <c r="D43" i="5" s="1"/>
  <c r="B47" i="5"/>
  <c r="B51" i="5"/>
  <c r="B55" i="5"/>
  <c r="B20" i="5"/>
  <c r="D20" i="5" s="1"/>
  <c r="B52" i="5"/>
  <c r="B18" i="5"/>
  <c r="B30" i="5"/>
  <c r="B50" i="5"/>
  <c r="C14" i="5"/>
  <c r="C30" i="5"/>
  <c r="C11" i="5"/>
  <c r="C15" i="5"/>
  <c r="C19" i="5"/>
  <c r="C23" i="5"/>
  <c r="C27" i="5"/>
  <c r="C31" i="5"/>
  <c r="C35" i="5"/>
  <c r="C39" i="5"/>
  <c r="C43" i="5"/>
  <c r="C47" i="5"/>
  <c r="C51" i="5"/>
  <c r="C55" i="5"/>
  <c r="B40" i="5"/>
  <c r="D40" i="5" s="1"/>
  <c r="B24" i="5"/>
  <c r="D24" i="5" s="1"/>
  <c r="B44" i="5"/>
  <c r="K32" i="6"/>
  <c r="K33" i="6" s="1"/>
  <c r="M32" i="6"/>
  <c r="M33" i="6" s="1"/>
  <c r="L32" i="6"/>
  <c r="L33" i="6" s="1"/>
  <c r="D32" i="6"/>
  <c r="D33" i="6" s="1"/>
  <c r="N26" i="6"/>
  <c r="N28" i="6"/>
  <c r="N30" i="6"/>
  <c r="C32" i="6"/>
  <c r="C33" i="6" s="1"/>
  <c r="N31" i="6"/>
  <c r="N29" i="6"/>
  <c r="J32" i="6"/>
  <c r="J33" i="6" s="1"/>
  <c r="E32" i="6"/>
  <c r="E33" i="6" s="1"/>
  <c r="H32" i="6"/>
  <c r="H33" i="6" s="1"/>
  <c r="G32" i="6"/>
  <c r="G33" i="6" s="1"/>
  <c r="I32" i="6"/>
  <c r="I33" i="6" s="1"/>
  <c r="F32" i="6"/>
  <c r="F33" i="6" s="1"/>
  <c r="N27" i="6"/>
  <c r="B32" i="6"/>
  <c r="D7" i="4"/>
  <c r="D14" i="4" l="1"/>
  <c r="D16" i="4" s="1"/>
  <c r="D18" i="4"/>
  <c r="D16" i="5"/>
  <c r="D27" i="5"/>
  <c r="D54" i="5"/>
  <c r="D31" i="5"/>
  <c r="D46" i="5"/>
  <c r="D42" i="5"/>
  <c r="D37" i="5"/>
  <c r="D19" i="5"/>
  <c r="D56" i="5"/>
  <c r="D50" i="5"/>
  <c r="D38" i="5"/>
  <c r="D49" i="5"/>
  <c r="D23" i="5"/>
  <c r="D29" i="5"/>
  <c r="D12" i="5"/>
  <c r="D55" i="5"/>
  <c r="D51" i="5"/>
  <c r="D44" i="5"/>
  <c r="D47" i="5"/>
  <c r="D53" i="5"/>
  <c r="D41" i="5"/>
  <c r="H5" i="5"/>
  <c r="M3" i="5" s="1"/>
  <c r="F17" i="4" s="1"/>
  <c r="D45" i="5"/>
  <c r="D34" i="5"/>
  <c r="H4" i="5"/>
  <c r="L3" i="5" s="1"/>
  <c r="E17" i="4" s="1"/>
  <c r="D33" i="5"/>
  <c r="D30" i="5"/>
  <c r="D26" i="5"/>
  <c r="D18" i="5"/>
  <c r="D22" i="5"/>
  <c r="D25" i="5"/>
  <c r="D15" i="5"/>
  <c r="D14" i="5"/>
  <c r="D21" i="5"/>
  <c r="H3" i="5"/>
  <c r="K3" i="5" s="1"/>
  <c r="D17" i="4" s="1"/>
  <c r="D52" i="5"/>
  <c r="D10" i="5"/>
  <c r="D17" i="5"/>
  <c r="D48" i="5"/>
  <c r="D13" i="5"/>
  <c r="D32" i="5"/>
  <c r="D11" i="5"/>
  <c r="C57" i="5"/>
  <c r="E4" i="5" s="1"/>
  <c r="D9" i="5"/>
  <c r="H2" i="5"/>
  <c r="B57" i="5"/>
  <c r="B33" i="6"/>
  <c r="N32" i="6"/>
  <c r="E7" i="4"/>
  <c r="D19" i="4" l="1"/>
  <c r="D21" i="4" s="1"/>
  <c r="E14" i="4"/>
  <c r="E16" i="4" s="1"/>
  <c r="E18" i="4"/>
  <c r="D57" i="5"/>
  <c r="E2" i="5" s="1"/>
  <c r="E3" i="5"/>
  <c r="J3" i="5"/>
  <c r="H6" i="5"/>
  <c r="F7" i="4"/>
  <c r="C19" i="4" l="1"/>
  <c r="C21" i="4" s="1"/>
  <c r="F14" i="4"/>
  <c r="F16" i="4" s="1"/>
  <c r="F18" i="4"/>
  <c r="E19" i="4"/>
  <c r="E21" i="4" s="1"/>
  <c r="D25" i="4"/>
  <c r="D26" i="4" s="1"/>
  <c r="C25" i="4" l="1"/>
  <c r="F19" i="4"/>
  <c r="F21" i="4" s="1"/>
  <c r="E25" i="4"/>
  <c r="C26" i="4" l="1"/>
  <c r="C33" i="4" s="1"/>
  <c r="C35" i="4" s="1"/>
  <c r="C37" i="4" s="1"/>
  <c r="C32" i="4"/>
  <c r="F25" i="4"/>
  <c r="F26" i="4" s="1"/>
  <c r="E26" i="4"/>
  <c r="C34" i="4" l="1"/>
  <c r="C36" i="4" s="1"/>
  <c r="D32" i="4"/>
  <c r="D33" i="4"/>
  <c r="E33" i="4" s="1"/>
  <c r="E35" i="4" s="1"/>
  <c r="E37" i="4" s="1"/>
  <c r="D34" i="4" l="1"/>
  <c r="D36" i="4" s="1"/>
  <c r="E32" i="4"/>
  <c r="D35" i="4"/>
  <c r="D37" i="4" s="1"/>
  <c r="G25" i="4"/>
  <c r="F33" i="4"/>
  <c r="E34" i="4" l="1"/>
  <c r="E36" i="4" s="1"/>
  <c r="F32" i="4"/>
  <c r="F34" i="4" s="1"/>
  <c r="F36" i="4" s="1"/>
  <c r="F35" i="4"/>
  <c r="F37" i="4" s="1"/>
  <c r="B27" i="4" l="1"/>
  <c r="B29" i="4"/>
  <c r="B28" i="4" l="1"/>
  <c r="B38" i="4" l="1"/>
  <c r="B39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4" authorId="0" shapeId="0" xr:uid="{9F0B0302-5481-46F6-9FE8-B18C53D2731B}">
      <text>
        <r>
          <rPr>
            <b/>
            <sz val="9"/>
            <color indexed="81"/>
            <rFont val="Tahoma"/>
            <family val="2"/>
            <charset val="204"/>
          </rPr>
          <t>Предполагается использование льготных кредитов</t>
        </r>
      </text>
    </comment>
  </commentList>
</comments>
</file>

<file path=xl/sharedStrings.xml><?xml version="1.0" encoding="utf-8"?>
<sst xmlns="http://schemas.openxmlformats.org/spreadsheetml/2006/main" count="157" uniqueCount="108">
  <si>
    <t>Всего</t>
  </si>
  <si>
    <t>Базовое значение</t>
  </si>
  <si>
    <t>модельное значение</t>
  </si>
  <si>
    <t>Темп роста</t>
  </si>
  <si>
    <t>Прибыль (убыток) от продаж</t>
  </si>
  <si>
    <t>Чистая прибыль (убыток)</t>
  </si>
  <si>
    <t>Ставка дисконтирования</t>
  </si>
  <si>
    <t>Финансовый результат</t>
  </si>
  <si>
    <t>Дисконтированный финансовый результат</t>
  </si>
  <si>
    <t>Финансовый результат нарастающим итогом</t>
  </si>
  <si>
    <t>Дисконтированный финансовый результат нарастающим итогом</t>
  </si>
  <si>
    <t>Срок окупаемости</t>
  </si>
  <si>
    <t>Дисконтированный срок окупаемости</t>
  </si>
  <si>
    <t>Проценты</t>
  </si>
  <si>
    <t>СУММА ДОЛГА</t>
  </si>
  <si>
    <t>в т.ч. %</t>
  </si>
  <si>
    <t>СТАВКА</t>
  </si>
  <si>
    <t>тело</t>
  </si>
  <si>
    <t>СРОК</t>
  </si>
  <si>
    <t>ВЫПЛАТ В ГОД</t>
  </si>
  <si>
    <t>ПЛАТЕЖ</t>
  </si>
  <si>
    <t>ПРОЦЕНТЫ</t>
  </si>
  <si>
    <t>ТЕЛО</t>
  </si>
  <si>
    <t>Первоначальные инвестиции в тыс. руб.</t>
  </si>
  <si>
    <t>Годы (расчеты в тыс. руб.)</t>
  </si>
  <si>
    <t>Процентные расходы по годам в тыс. руб.</t>
  </si>
  <si>
    <t>лет</t>
  </si>
  <si>
    <t>Доля долгового финансирования</t>
  </si>
  <si>
    <t>Валовая прибыль</t>
  </si>
  <si>
    <t>IRR (Предельная стоимость финансирования)</t>
  </si>
  <si>
    <t>Услуги</t>
  </si>
  <si>
    <t>Стоимость</t>
  </si>
  <si>
    <t>Оплата труда</t>
  </si>
  <si>
    <t>Сертификация</t>
  </si>
  <si>
    <t>Амортизация снаряжения в год</t>
  </si>
  <si>
    <t xml:space="preserve">Менеджер в сезон  май-сентябрь </t>
  </si>
  <si>
    <t xml:space="preserve">Другие расходы аренда места в год </t>
  </si>
  <si>
    <t>май</t>
  </si>
  <si>
    <t>июнь</t>
  </si>
  <si>
    <t>июль</t>
  </si>
  <si>
    <t>август</t>
  </si>
  <si>
    <t>сентябрь</t>
  </si>
  <si>
    <t>Плановое количество услуг</t>
  </si>
  <si>
    <t>Постоянные расходы</t>
  </si>
  <si>
    <t>январь</t>
  </si>
  <si>
    <t>февраль</t>
  </si>
  <si>
    <t>март</t>
  </si>
  <si>
    <t>апрель</t>
  </si>
  <si>
    <t>октябрь</t>
  </si>
  <si>
    <t>ноябрь</t>
  </si>
  <si>
    <t>декабрь</t>
  </si>
  <si>
    <t>Выручка</t>
  </si>
  <si>
    <t>Валовая рентабельность</t>
  </si>
  <si>
    <t>в год</t>
  </si>
  <si>
    <t>Ремонт оборудования</t>
  </si>
  <si>
    <t>Ремонт регуляторов</t>
  </si>
  <si>
    <t>Сумма</t>
  </si>
  <si>
    <t>Источник средств</t>
  </si>
  <si>
    <t>Приобретение снаряжения</t>
  </si>
  <si>
    <t>Таблица 1 Инвестиции и источники средств (тыс. руб.)</t>
  </si>
  <si>
    <t>Ремонт и дооборудование помещения</t>
  </si>
  <si>
    <t>собственные средства</t>
  </si>
  <si>
    <t>внесение имущества</t>
  </si>
  <si>
    <t>Всего инвестиций</t>
  </si>
  <si>
    <t>В том числе за счет заемных средств</t>
  </si>
  <si>
    <t>За счет внесения имущества</t>
  </si>
  <si>
    <t>Платеж за счет собственных средств</t>
  </si>
  <si>
    <t>Таблица 2. Структура цены (руб.)</t>
  </si>
  <si>
    <t>Таблица 3. Плановое количество услуг (шт.)</t>
  </si>
  <si>
    <t>Таблица 5. Постоянные расходы (руб.)</t>
  </si>
  <si>
    <t>% от Плана</t>
  </si>
  <si>
    <t>Таблица 6. Финансовая модель</t>
  </si>
  <si>
    <t>Погашение основной суммы кредита</t>
  </si>
  <si>
    <t>Выручка (без НДС)</t>
  </si>
  <si>
    <t>Расходы на оплату труда основного персонала, включая отчисления ФОТ</t>
  </si>
  <si>
    <t xml:space="preserve">Себестоимость в т.ч. </t>
  </si>
  <si>
    <t>Коммерческие расходы и Управленческие расходы</t>
  </si>
  <si>
    <t>Налог при применении АУСН 8%</t>
  </si>
  <si>
    <t>Чистая прибыль, остающаяся в распоряжении предпринимателя</t>
  </si>
  <si>
    <t>Таблица 7. Финансовые показатели эффективности проекта</t>
  </si>
  <si>
    <t>Таблица 8. Срок окупаемости проекта</t>
  </si>
  <si>
    <t>NPV (Чистый финансовый результат)</t>
  </si>
  <si>
    <t>PI (Возврат в рублях на каждый вложенный рубль)</t>
  </si>
  <si>
    <t>Подтверждение цены</t>
  </si>
  <si>
    <t>Постановка автомобиля на баланс для использования в бизнесе</t>
  </si>
  <si>
    <t>Проценты к уплате, включая комиссию Гарантийного фонда ПК</t>
  </si>
  <si>
    <t>Комиссия гарантийного фонда ПК</t>
  </si>
  <si>
    <t>Использование прибыли на погашение основной суммы займа</t>
  </si>
  <si>
    <t>Таблица 4. Валовая прибыль (плановая) по месяцам (руб.)</t>
  </si>
  <si>
    <t>Темп роста расходов на оплату труда основного персонала</t>
  </si>
  <si>
    <t>Таблица 9. Анализ рисков. Изменения ключевых статей доходов и расходов, обращающих NPV в ноль (% от плана)</t>
  </si>
  <si>
    <t>Для перехода к оответствующей таблице воспользуйтесь гиперссылкой</t>
  </si>
  <si>
    <t>Возврат к оглавлению</t>
  </si>
  <si>
    <t xml:space="preserve">кредит </t>
  </si>
  <si>
    <t>Услуга1</t>
  </si>
  <si>
    <t>Услуга2</t>
  </si>
  <si>
    <t>Услуга3</t>
  </si>
  <si>
    <t>Услуга4</t>
  </si>
  <si>
    <t>Услуга5</t>
  </si>
  <si>
    <t>Услуга6</t>
  </si>
  <si>
    <t>Услуга7</t>
  </si>
  <si>
    <t>Услуга8</t>
  </si>
  <si>
    <t>материальные затраты</t>
  </si>
  <si>
    <t>аренда сервера</t>
  </si>
  <si>
    <t xml:space="preserve"> роялти</t>
  </si>
  <si>
    <t>Аренда сервера</t>
  </si>
  <si>
    <t xml:space="preserve"> Роялти</t>
  </si>
  <si>
    <t>Материальные затраты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</si>
</sst>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₽&quot;;[Red]\-#,##0.00\ &quot;₽&quot;"/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  <numFmt numFmtId="166" formatCode="_-* #,##0_р_._-;\-* #,##0_р_._-;_-* &quot;-&quot;??_р_._-;_-@_-"/>
    <numFmt numFmtId="167" formatCode="0_ ;[Red]\-0\ "/>
  </numFmts>
  <fonts count="17" x14ac:knownFonts="1">
    <font>
      <sz val="11"/>
      <name val="Calibri"/>
      <scheme val="minor"/>
    </font>
    <font>
      <sz val="1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ahoma"/>
      <family val="2"/>
      <charset val="204"/>
    </font>
    <font>
      <sz val="8"/>
      <name val="Calibri"/>
      <family val="2"/>
      <charset val="204"/>
      <scheme val="minor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u/>
      <sz val="16"/>
      <color theme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43" fontId="4" fillId="0" borderId="1" xfId="1" applyFont="1" applyBorder="1"/>
    <xf numFmtId="165" fontId="4" fillId="0" borderId="1" xfId="1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5" fontId="4" fillId="0" borderId="1" xfId="0" applyNumberFormat="1" applyFont="1" applyBorder="1"/>
    <xf numFmtId="165" fontId="3" fillId="0" borderId="1" xfId="0" applyNumberFormat="1" applyFont="1" applyBorder="1"/>
    <xf numFmtId="9" fontId="4" fillId="0" borderId="1" xfId="0" applyNumberFormat="1" applyFont="1" applyBorder="1"/>
    <xf numFmtId="9" fontId="4" fillId="0" borderId="1" xfId="2" applyFont="1" applyBorder="1"/>
    <xf numFmtId="10" fontId="4" fillId="0" borderId="1" xfId="0" applyNumberFormat="1" applyFont="1" applyBorder="1"/>
    <xf numFmtId="43" fontId="4" fillId="0" borderId="1" xfId="0" applyNumberFormat="1" applyFont="1" applyBorder="1"/>
    <xf numFmtId="8" fontId="4" fillId="0" borderId="0" xfId="0" applyNumberFormat="1" applyFont="1"/>
    <xf numFmtId="8" fontId="4" fillId="5" borderId="0" xfId="0" applyNumberFormat="1" applyFont="1" applyFill="1"/>
    <xf numFmtId="165" fontId="4" fillId="2" borderId="1" xfId="1" applyNumberFormat="1" applyFont="1" applyFill="1" applyBorder="1"/>
    <xf numFmtId="0" fontId="4" fillId="0" borderId="3" xfId="0" applyFont="1" applyBorder="1"/>
    <xf numFmtId="0" fontId="4" fillId="2" borderId="1" xfId="0" applyFont="1" applyFill="1" applyBorder="1"/>
    <xf numFmtId="9" fontId="4" fillId="2" borderId="1" xfId="0" applyNumberFormat="1" applyFont="1" applyFill="1" applyBorder="1"/>
    <xf numFmtId="0" fontId="5" fillId="0" borderId="3" xfId="0" applyFont="1" applyBorder="1" applyAlignment="1">
      <alignment horizontal="left" vertical="center" wrapText="1"/>
    </xf>
    <xf numFmtId="0" fontId="3" fillId="2" borderId="1" xfId="0" applyFont="1" applyFill="1" applyBorder="1"/>
    <xf numFmtId="165" fontId="3" fillId="0" borderId="1" xfId="1" applyNumberFormat="1" applyFont="1" applyBorder="1"/>
    <xf numFmtId="0" fontId="4" fillId="3" borderId="1" xfId="0" applyFont="1" applyFill="1" applyBorder="1"/>
    <xf numFmtId="165" fontId="4" fillId="4" borderId="1" xfId="1" applyNumberFormat="1" applyFont="1" applyFill="1" applyBorder="1"/>
    <xf numFmtId="1" fontId="4" fillId="0" borderId="1" xfId="0" applyNumberFormat="1" applyFont="1" applyBorder="1"/>
    <xf numFmtId="43" fontId="4" fillId="5" borderId="1" xfId="1" applyFont="1" applyFill="1" applyBorder="1"/>
    <xf numFmtId="2" fontId="4" fillId="5" borderId="1" xfId="0" applyNumberFormat="1" applyFont="1" applyFill="1" applyBorder="1"/>
    <xf numFmtId="10" fontId="4" fillId="5" borderId="1" xfId="0" applyNumberFormat="1" applyFont="1" applyFill="1" applyBorder="1"/>
    <xf numFmtId="165" fontId="4" fillId="0" borderId="0" xfId="0" applyNumberFormat="1" applyFont="1"/>
    <xf numFmtId="167" fontId="4" fillId="0" borderId="1" xfId="0" applyNumberFormat="1" applyFont="1" applyBorder="1"/>
    <xf numFmtId="0" fontId="7" fillId="0" borderId="0" xfId="0" applyFont="1"/>
    <xf numFmtId="164" fontId="7" fillId="5" borderId="1" xfId="0" applyNumberFormat="1" applyFont="1" applyFill="1" applyBorder="1"/>
    <xf numFmtId="164" fontId="7" fillId="5" borderId="2" xfId="0" applyNumberFormat="1" applyFont="1" applyFill="1" applyBorder="1"/>
    <xf numFmtId="43" fontId="7" fillId="0" borderId="1" xfId="1" applyFont="1" applyBorder="1"/>
    <xf numFmtId="166" fontId="4" fillId="0" borderId="2" xfId="1" applyNumberFormat="1" applyFont="1" applyBorder="1"/>
    <xf numFmtId="43" fontId="4" fillId="2" borderId="1" xfId="1" applyFont="1" applyFill="1" applyBorder="1"/>
    <xf numFmtId="166" fontId="4" fillId="0" borderId="0" xfId="0" applyNumberFormat="1" applyFont="1"/>
    <xf numFmtId="9" fontId="4" fillId="0" borderId="0" xfId="0" applyNumberFormat="1" applyFont="1"/>
    <xf numFmtId="0" fontId="9" fillId="0" borderId="0" xfId="0" applyFont="1"/>
    <xf numFmtId="0" fontId="3" fillId="0" borderId="1" xfId="0" applyFont="1" applyBorder="1"/>
    <xf numFmtId="43" fontId="4" fillId="0" borderId="1" xfId="1" applyFont="1" applyBorder="1" applyAlignment="1">
      <alignment wrapText="1"/>
    </xf>
    <xf numFmtId="9" fontId="4" fillId="0" borderId="0" xfId="2" applyFont="1"/>
    <xf numFmtId="43" fontId="3" fillId="0" borderId="1" xfId="1" applyFont="1" applyBorder="1"/>
    <xf numFmtId="0" fontId="4" fillId="0" borderId="4" xfId="0" applyFont="1" applyBorder="1"/>
    <xf numFmtId="0" fontId="4" fillId="0" borderId="1" xfId="0" applyFont="1" applyBorder="1" applyAlignment="1">
      <alignment horizontal="left" indent="1"/>
    </xf>
    <xf numFmtId="9" fontId="3" fillId="0" borderId="1" xfId="0" applyNumberFormat="1" applyFont="1" applyBorder="1"/>
    <xf numFmtId="43" fontId="10" fillId="0" borderId="0" xfId="1" applyFont="1"/>
    <xf numFmtId="0" fontId="3" fillId="0" borderId="1" xfId="0" applyFont="1" applyBorder="1" applyAlignment="1">
      <alignment horizontal="left" indent="1"/>
    </xf>
    <xf numFmtId="9" fontId="3" fillId="0" borderId="1" xfId="2" applyFont="1" applyBorder="1"/>
    <xf numFmtId="0" fontId="11" fillId="0" borderId="0" xfId="0" applyFont="1"/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9" fontId="4" fillId="6" borderId="1" xfId="2" applyFont="1" applyFill="1" applyBorder="1"/>
    <xf numFmtId="0" fontId="4" fillId="0" borderId="0" xfId="0" applyFont="1" applyAlignment="1">
      <alignment wrapText="1"/>
    </xf>
    <xf numFmtId="0" fontId="12" fillId="0" borderId="1" xfId="0" applyFont="1" applyBorder="1"/>
    <xf numFmtId="9" fontId="13" fillId="0" borderId="1" xfId="2" applyFont="1" applyBorder="1"/>
    <xf numFmtId="0" fontId="12" fillId="0" borderId="0" xfId="0" applyFont="1"/>
    <xf numFmtId="9" fontId="13" fillId="0" borderId="0" xfId="2" applyFont="1" applyBorder="1"/>
    <xf numFmtId="0" fontId="4" fillId="0" borderId="6" xfId="0" applyFont="1" applyBorder="1"/>
    <xf numFmtId="9" fontId="4" fillId="0" borderId="2" xfId="0" applyNumberFormat="1" applyFont="1" applyBorder="1"/>
    <xf numFmtId="0" fontId="5" fillId="0" borderId="1" xfId="0" applyFont="1" applyBorder="1" applyAlignment="1">
      <alignment horizontal="left" vertical="center" wrapText="1"/>
    </xf>
    <xf numFmtId="0" fontId="3" fillId="0" borderId="3" xfId="0" applyFont="1" applyBorder="1"/>
    <xf numFmtId="43" fontId="3" fillId="2" borderId="1" xfId="1" applyFont="1" applyFill="1" applyBorder="1"/>
    <xf numFmtId="0" fontId="6" fillId="0" borderId="3" xfId="0" applyFont="1" applyBorder="1" applyAlignment="1">
      <alignment horizontal="left" vertical="center" wrapText="1" indent="1"/>
    </xf>
    <xf numFmtId="166" fontId="4" fillId="0" borderId="1" xfId="0" applyNumberFormat="1" applyFont="1" applyBorder="1"/>
    <xf numFmtId="0" fontId="5" fillId="0" borderId="0" xfId="0" applyFont="1" applyAlignment="1">
      <alignment vertical="center" wrapText="1"/>
    </xf>
    <xf numFmtId="0" fontId="15" fillId="0" borderId="7" xfId="0" applyFont="1" applyBorder="1" applyAlignment="1">
      <alignment wrapText="1"/>
    </xf>
    <xf numFmtId="0" fontId="14" fillId="0" borderId="0" xfId="3"/>
    <xf numFmtId="0" fontId="16" fillId="0" borderId="7" xfId="3" applyFont="1" applyBorder="1" applyAlignment="1">
      <alignment wrapText="1"/>
    </xf>
    <xf numFmtId="0" fontId="16" fillId="0" borderId="8" xfId="3" applyFont="1" applyBorder="1" applyAlignment="1">
      <alignment wrapText="1"/>
    </xf>
    <xf numFmtId="0" fontId="16" fillId="0" borderId="8" xfId="3" applyFont="1" applyBorder="1" applyAlignment="1">
      <alignment vertical="center" wrapText="1"/>
    </xf>
    <xf numFmtId="0" fontId="16" fillId="0" borderId="9" xfId="3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Процентный" xfId="2" builtinId="5"/>
    <cellStyle name="Финансовый" xfId="1" builtinId="3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'Кредитный расчет'!$B$8</c:f>
              <c:strCache>
                <c:ptCount val="1"/>
                <c:pt idx="0">
                  <c:v>ПРОЦЕНТЫ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'Кредитный расчет'!$B$9:$B$56</c:f>
              <c:numCache>
                <c:formatCode>_(* #,##0.00_);_(* \(#,##0.00\);_(* "-"??_);_(@_)</c:formatCode>
                <c:ptCount val="48"/>
                <c:pt idx="0">
                  <c:v>34.63997916666667</c:v>
                </c:pt>
                <c:pt idx="1">
                  <c:v>33.791846847068896</c:v>
                </c:pt>
                <c:pt idx="2">
                  <c:v>32.937706923540638</c:v>
                </c:pt>
                <c:pt idx="3">
                  <c:v>32.077516842220717</c:v>
                </c:pt>
                <c:pt idx="4">
                  <c:v>31.211233747824789</c:v>
                </c:pt>
                <c:pt idx="5">
                  <c:v>30.338814481510216</c:v>
                </c:pt>
                <c:pt idx="6">
                  <c:v>29.460215578725911</c:v>
                </c:pt>
                <c:pt idx="7">
                  <c:v>28.575393267046884</c:v>
                </c:pt>
                <c:pt idx="8">
                  <c:v>27.684303463993469</c:v>
                </c:pt>
                <c:pt idx="9">
                  <c:v>26.786901774835091</c:v>
                </c:pt>
                <c:pt idx="10">
                  <c:v>25.883143490378512</c:v>
                </c:pt>
                <c:pt idx="11">
                  <c:v>24.972983584740355</c:v>
                </c:pt>
                <c:pt idx="12">
                  <c:v>24.056376713103941</c:v>
                </c:pt>
                <c:pt idx="13">
                  <c:v>23.13327720946009</c:v>
                </c:pt>
                <c:pt idx="14">
                  <c:v>22.203639084332103</c:v>
                </c:pt>
                <c:pt idx="15">
                  <c:v>21.267416022484451</c:v>
                </c:pt>
                <c:pt idx="16">
                  <c:v>20.324561380615389</c:v>
                </c:pt>
                <c:pt idx="17">
                  <c:v>19.375028185033084</c:v>
                </c:pt>
                <c:pt idx="18">
                  <c:v>18.4187691293154</c:v>
                </c:pt>
                <c:pt idx="19">
                  <c:v>17.455736571953054</c:v>
                </c:pt>
                <c:pt idx="20">
                  <c:v>16.485882533976056</c:v>
                </c:pt>
                <c:pt idx="21">
                  <c:v>15.509158696563386</c:v>
                </c:pt>
                <c:pt idx="22">
                  <c:v>14.525516398635711</c:v>
                </c:pt>
                <c:pt idx="23">
                  <c:v>13.534906634431048</c:v>
                </c:pt>
                <c:pt idx="24">
                  <c:v>12.537280051063272</c:v>
                </c:pt>
                <c:pt idx="25">
                  <c:v>11.532586946063303</c:v>
                </c:pt>
                <c:pt idx="26">
                  <c:v>10.520777264902918</c:v>
                </c:pt>
                <c:pt idx="27">
                  <c:v>9.5018005985009832</c:v>
                </c:pt>
                <c:pt idx="28">
                  <c:v>8.4756061807120329</c:v>
                </c:pt>
                <c:pt idx="29">
                  <c:v>7.4421428857970771</c:v>
                </c:pt>
                <c:pt idx="30">
                  <c:v>6.4013592258764751</c:v>
                </c:pt>
                <c:pt idx="31">
                  <c:v>5.3532033483647696</c:v>
                </c:pt>
                <c:pt idx="32">
                  <c:v>4.297623033387354</c:v>
                </c:pt>
                <c:pt idx="33">
                  <c:v>3.2345656911788483</c:v>
                </c:pt>
                <c:pt idx="34">
                  <c:v>2.1639783594630329</c:v>
                </c:pt>
                <c:pt idx="35">
                  <c:v>1.0858077008142313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9-4375-ADBE-FD3A8D3393EA}"/>
            </c:ext>
          </c:extLst>
        </c:ser>
        <c:ser>
          <c:idx val="1"/>
          <c:order val="1"/>
          <c:tx>
            <c:strRef>
              <c:f>'Кредитный расчет'!$C$8</c:f>
              <c:strCache>
                <c:ptCount val="1"/>
                <c:pt idx="0">
                  <c:v>ТЕЛО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'Кредитный расчет'!$C$9:$C$56</c:f>
              <c:numCache>
                <c:formatCode>_(* #,##0.00_);_(* \(#,##0.00\);_(* "-"??_);_(@_)</c:formatCode>
                <c:ptCount val="48"/>
                <c:pt idx="0">
                  <c:v>119.73632747262728</c:v>
                </c:pt>
                <c:pt idx="1">
                  <c:v>120.58445979222503</c:v>
                </c:pt>
                <c:pt idx="2">
                  <c:v>121.4385997157533</c:v>
                </c:pt>
                <c:pt idx="3">
                  <c:v>122.2987897970732</c:v>
                </c:pt>
                <c:pt idx="4">
                  <c:v>123.16507289146918</c:v>
                </c:pt>
                <c:pt idx="5">
                  <c:v>124.03749215778375</c:v>
                </c:pt>
                <c:pt idx="6">
                  <c:v>124.91609106056804</c:v>
                </c:pt>
                <c:pt idx="7">
                  <c:v>125.80091337224705</c:v>
                </c:pt>
                <c:pt idx="8">
                  <c:v>126.69200317530047</c:v>
                </c:pt>
                <c:pt idx="9">
                  <c:v>127.58940486445886</c:v>
                </c:pt>
                <c:pt idx="10">
                  <c:v>128.49316314891544</c:v>
                </c:pt>
                <c:pt idx="11">
                  <c:v>129.4033230545536</c:v>
                </c:pt>
                <c:pt idx="12">
                  <c:v>130.31992992619001</c:v>
                </c:pt>
                <c:pt idx="13">
                  <c:v>131.24302942983385</c:v>
                </c:pt>
                <c:pt idx="14">
                  <c:v>132.17266755496183</c:v>
                </c:pt>
                <c:pt idx="15">
                  <c:v>133.10889061680948</c:v>
                </c:pt>
                <c:pt idx="16">
                  <c:v>134.05174525867855</c:v>
                </c:pt>
                <c:pt idx="17">
                  <c:v>135.00127845426084</c:v>
                </c:pt>
                <c:pt idx="18">
                  <c:v>135.95753750997855</c:v>
                </c:pt>
                <c:pt idx="19">
                  <c:v>136.92057006734089</c:v>
                </c:pt>
                <c:pt idx="20">
                  <c:v>137.89042410531789</c:v>
                </c:pt>
                <c:pt idx="21">
                  <c:v>138.86714794273058</c:v>
                </c:pt>
                <c:pt idx="22">
                  <c:v>139.85079024065823</c:v>
                </c:pt>
                <c:pt idx="23">
                  <c:v>140.84140000486289</c:v>
                </c:pt>
                <c:pt idx="24">
                  <c:v>141.83902658823067</c:v>
                </c:pt>
                <c:pt idx="25">
                  <c:v>142.84371969323064</c:v>
                </c:pt>
                <c:pt idx="26">
                  <c:v>143.85552937439101</c:v>
                </c:pt>
                <c:pt idx="27">
                  <c:v>144.87450604079297</c:v>
                </c:pt>
                <c:pt idx="28">
                  <c:v>145.90070045858189</c:v>
                </c:pt>
                <c:pt idx="29">
                  <c:v>146.93416375349688</c:v>
                </c:pt>
                <c:pt idx="30">
                  <c:v>147.97494741341745</c:v>
                </c:pt>
                <c:pt idx="31">
                  <c:v>149.02310329092919</c:v>
                </c:pt>
                <c:pt idx="32">
                  <c:v>150.0786836059066</c:v>
                </c:pt>
                <c:pt idx="33">
                  <c:v>151.14174094811509</c:v>
                </c:pt>
                <c:pt idx="34">
                  <c:v>152.2123282798309</c:v>
                </c:pt>
                <c:pt idx="35">
                  <c:v>153.29049893847971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F9-4375-ADBE-FD3A8D339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6999968"/>
        <c:axId val="777001024"/>
      </c:barChart>
      <c:catAx>
        <c:axId val="776999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7001024"/>
        <c:crosses val="autoZero"/>
        <c:auto val="1"/>
        <c:lblAlgn val="ctr"/>
        <c:lblOffset val="100"/>
        <c:noMultiLvlLbl val="0"/>
      </c:catAx>
      <c:valAx>
        <c:axId val="77700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699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9</xdr:row>
      <xdr:rowOff>80961</xdr:rowOff>
    </xdr:from>
    <xdr:to>
      <xdr:col>10</xdr:col>
      <xdr:colOff>571500</xdr:colOff>
      <xdr:row>36</xdr:row>
      <xdr:rowOff>47624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77</xdr:row>
          <xdr:rowOff>0</xdr:rowOff>
        </xdr:from>
        <xdr:to>
          <xdr:col>14</xdr:col>
          <xdr:colOff>495300</xdr:colOff>
          <xdr:row>78</xdr:row>
          <xdr:rowOff>142875</xdr:rowOff>
        </xdr:to>
        <xdr:sp macro="" textlink="">
          <xdr:nvSpPr>
            <xdr:cNvPr id="4104" name="ScrollBar1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4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2D995-FD1C-42B2-AFEC-22D3A423BE89}">
  <dimension ref="A1:D12"/>
  <sheetViews>
    <sheetView showGridLines="0" workbookViewId="0">
      <selection activeCell="A21" sqref="A21"/>
    </sheetView>
  </sheetViews>
  <sheetFormatPr defaultRowHeight="15" x14ac:dyDescent="0.25"/>
  <cols>
    <col min="1" max="1" width="93" customWidth="1"/>
  </cols>
  <sheetData>
    <row r="1" spans="1:4" ht="41.25" thickBot="1" x14ac:dyDescent="0.35">
      <c r="A1" s="66" t="s">
        <v>91</v>
      </c>
    </row>
    <row r="2" spans="1:4" ht="20.25" x14ac:dyDescent="0.3">
      <c r="A2" s="68" t="s">
        <v>59</v>
      </c>
    </row>
    <row r="3" spans="1:4" ht="20.25" x14ac:dyDescent="0.3">
      <c r="A3" s="69" t="s">
        <v>25</v>
      </c>
    </row>
    <row r="4" spans="1:4" ht="20.25" x14ac:dyDescent="0.25">
      <c r="A4" s="70" t="s">
        <v>72</v>
      </c>
      <c r="B4" s="65"/>
      <c r="C4" s="65"/>
      <c r="D4" s="65"/>
    </row>
    <row r="5" spans="1:4" ht="20.25" x14ac:dyDescent="0.3">
      <c r="A5" s="69" t="s">
        <v>67</v>
      </c>
    </row>
    <row r="6" spans="1:4" ht="20.25" x14ac:dyDescent="0.3">
      <c r="A6" s="69" t="s">
        <v>68</v>
      </c>
    </row>
    <row r="7" spans="1:4" ht="20.25" x14ac:dyDescent="0.3">
      <c r="A7" s="69" t="s">
        <v>88</v>
      </c>
    </row>
    <row r="8" spans="1:4" ht="20.25" x14ac:dyDescent="0.3">
      <c r="A8" s="69" t="s">
        <v>69</v>
      </c>
    </row>
    <row r="9" spans="1:4" ht="20.25" x14ac:dyDescent="0.3">
      <c r="A9" s="69" t="s">
        <v>71</v>
      </c>
    </row>
    <row r="10" spans="1:4" ht="20.25" x14ac:dyDescent="0.3">
      <c r="A10" s="69" t="s">
        <v>79</v>
      </c>
    </row>
    <row r="11" spans="1:4" ht="20.25" x14ac:dyDescent="0.3">
      <c r="A11" s="69" t="s">
        <v>80</v>
      </c>
    </row>
    <row r="12" spans="1:4" ht="41.25" thickBot="1" x14ac:dyDescent="0.35">
      <c r="A12" s="71" t="s">
        <v>90</v>
      </c>
    </row>
  </sheetData>
  <hyperlinks>
    <hyperlink ref="A2" location="Инвестиции!A1" display="Таблица 1 Инвестиции и источники средств (тыс. руб.)" xr:uid="{73EC52C8-EBF7-40ED-86C4-301CA7359390}"/>
    <hyperlink ref="A3" location="'Кредитный расчет'!J2" display="Процентные расходы по годам в тыс. руб." xr:uid="{2A598E3A-577E-47B9-A3A2-056971B3415D}"/>
    <hyperlink ref="A4" location="'Кредитный расчет'!J4" display="Погашение основной суммы кредита" xr:uid="{44DDB218-0494-4595-BD1B-07037E21D200}"/>
    <hyperlink ref="A5" location="'План доходов и расходов'!A1" display="Таблица 2. Структура цены (руб.)" xr:uid="{28FD82D6-4C6A-4FDB-B983-7C5E35ED7312}"/>
    <hyperlink ref="A6" location="'План доходов и расходов'!A13" display="Таблица 3. Плановое количество услуг (шт.)" xr:uid="{9B7C051D-5B4D-4022-825D-47EE8617B7E2}"/>
    <hyperlink ref="A7" location="'План доходов и расходов'!A24" display="Таблица 4. Валовая прибыль (плановая) по месяцам (руб.)" xr:uid="{DFF6AA28-D18A-4F6E-8E5E-F37420719A7D}"/>
    <hyperlink ref="A8" location="Оглавление!A35" display="Таблица 5. Постоянные расходы (руб.)" xr:uid="{F5D4F137-2BB5-4FBD-8E7D-21FE62D08B3C}"/>
    <hyperlink ref="A9" location="'Финансовая модель'!A5" display="Таблица 6. Финансовая модель" xr:uid="{774212A3-2D9D-42DD-A66E-06F4A0A8F538}"/>
    <hyperlink ref="A10" location="'Финансовая модель'!A24" display="Таблица 7. Финансовые показатели эффективности проекта" xr:uid="{FB51DD8F-06C0-40D8-9196-FF3A5CAAB31C}"/>
    <hyperlink ref="A11" location="'Финансовая модель'!A31" display="Таблица 8. Срок окупаемости проекта" xr:uid="{F9ECA39D-14FB-4273-BA97-A9B8BDE1D122}"/>
    <hyperlink ref="A12" location="'Финансовая модель'!A41" display="Таблица 9. Анализ рисков. Изменения ключевых статей доходов и расходов, обращающих NPV в ноль (% от плана)" xr:uid="{2904E392-2EE7-4ABE-8660-C0156D8D18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25D04-BA18-4843-80FB-BFA31CFF9572}">
  <sheetPr>
    <tabColor theme="9"/>
  </sheetPr>
  <dimension ref="A2:D14"/>
  <sheetViews>
    <sheetView showGridLines="0" zoomScale="150" zoomScaleNormal="150" workbookViewId="0">
      <selection activeCell="E12" sqref="E12"/>
    </sheetView>
  </sheetViews>
  <sheetFormatPr defaultRowHeight="15" x14ac:dyDescent="0.25"/>
  <cols>
    <col min="1" max="1" width="39.28515625" style="2" customWidth="1"/>
    <col min="2" max="2" width="22.140625" style="2" customWidth="1"/>
    <col min="3" max="3" width="26.5703125" style="2" bestFit="1" customWidth="1"/>
    <col min="4" max="4" width="21.7109375" style="2" bestFit="1" customWidth="1"/>
    <col min="5" max="16384" width="9.140625" style="2"/>
  </cols>
  <sheetData>
    <row r="2" spans="1:4" x14ac:dyDescent="0.25">
      <c r="A2" s="38" t="s">
        <v>59</v>
      </c>
    </row>
    <row r="3" spans="1:4" x14ac:dyDescent="0.25">
      <c r="A3" s="5"/>
      <c r="B3" s="5" t="s">
        <v>56</v>
      </c>
      <c r="C3" s="5" t="s">
        <v>83</v>
      </c>
      <c r="D3" s="5" t="s">
        <v>57</v>
      </c>
    </row>
    <row r="4" spans="1:4" x14ac:dyDescent="0.25">
      <c r="A4" s="6" t="s">
        <v>60</v>
      </c>
      <c r="B4" s="46">
        <v>2475.27</v>
      </c>
      <c r="C4" s="6"/>
      <c r="D4" s="5" t="s">
        <v>93</v>
      </c>
    </row>
    <row r="5" spans="1:4" x14ac:dyDescent="0.25">
      <c r="A5" s="6" t="s">
        <v>58</v>
      </c>
      <c r="B5" s="3">
        <v>2315.08</v>
      </c>
      <c r="C5" s="6"/>
      <c r="D5" s="5" t="s">
        <v>93</v>
      </c>
    </row>
    <row r="6" spans="1:4" x14ac:dyDescent="0.25">
      <c r="A6" s="6" t="s">
        <v>55</v>
      </c>
      <c r="B6" s="3">
        <v>100</v>
      </c>
      <c r="C6" s="5"/>
      <c r="D6" s="5" t="s">
        <v>93</v>
      </c>
    </row>
    <row r="7" spans="1:4" x14ac:dyDescent="0.25">
      <c r="A7" s="6" t="s">
        <v>54</v>
      </c>
      <c r="B7" s="3">
        <v>300</v>
      </c>
      <c r="C7" s="5"/>
      <c r="D7" s="5" t="s">
        <v>61</v>
      </c>
    </row>
    <row r="8" spans="1:4" ht="30" x14ac:dyDescent="0.25">
      <c r="A8" s="40" t="s">
        <v>84</v>
      </c>
      <c r="B8" s="3">
        <f>3380*0.7</f>
        <v>2366</v>
      </c>
      <c r="C8" s="5"/>
      <c r="D8" s="5" t="s">
        <v>62</v>
      </c>
    </row>
    <row r="9" spans="1:4" x14ac:dyDescent="0.25">
      <c r="A9" s="39" t="s">
        <v>63</v>
      </c>
      <c r="B9" s="42">
        <f>SUM(B4:B8)</f>
        <v>7556.35</v>
      </c>
      <c r="C9" s="45">
        <v>1</v>
      </c>
    </row>
    <row r="10" spans="1:4" x14ac:dyDescent="0.25">
      <c r="A10" s="47" t="s">
        <v>64</v>
      </c>
      <c r="B10" s="42">
        <f>B4+B5+B6</f>
        <v>4890.3500000000004</v>
      </c>
      <c r="C10" s="48">
        <f>B10/B9</f>
        <v>0.64718415637179327</v>
      </c>
    </row>
    <row r="11" spans="1:4" x14ac:dyDescent="0.25">
      <c r="A11" s="44" t="s">
        <v>65</v>
      </c>
      <c r="B11" s="12">
        <f>B8</f>
        <v>2366</v>
      </c>
      <c r="C11" s="10">
        <f>B11/B9</f>
        <v>0.31311413579307468</v>
      </c>
    </row>
    <row r="12" spans="1:4" x14ac:dyDescent="0.25">
      <c r="A12" s="44" t="s">
        <v>66</v>
      </c>
      <c r="B12" s="12">
        <f>B7</f>
        <v>300</v>
      </c>
      <c r="C12" s="10">
        <f>B12/B9</f>
        <v>3.9701707835132043E-2</v>
      </c>
    </row>
    <row r="14" spans="1:4" x14ac:dyDescent="0.25">
      <c r="A14" s="67" t="s">
        <v>92</v>
      </c>
    </row>
  </sheetData>
  <hyperlinks>
    <hyperlink ref="A14" location="Оглавление!A1" display="Возврат к оглавлению" xr:uid="{7BBA2AEB-6515-45F7-A03A-CDA947B5DE1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A924-E6EF-4252-9FCF-4002965C2DF1}">
  <sheetPr codeName="Лист9">
    <tabColor rgb="FF92D050"/>
  </sheetPr>
  <dimension ref="A1:M57"/>
  <sheetViews>
    <sheetView showGridLines="0" workbookViewId="0"/>
  </sheetViews>
  <sheetFormatPr defaultColWidth="9.140625" defaultRowHeight="15" x14ac:dyDescent="0.25"/>
  <cols>
    <col min="1" max="1" width="23.140625" style="2" customWidth="1"/>
    <col min="2" max="2" width="16.7109375" style="2" bestFit="1" customWidth="1"/>
    <col min="3" max="4" width="15.140625" style="2" bestFit="1" customWidth="1"/>
    <col min="5" max="5" width="13.42578125" style="2" bestFit="1" customWidth="1"/>
    <col min="6" max="6" width="9.140625" style="2"/>
    <col min="7" max="7" width="10.28515625" style="2" bestFit="1" customWidth="1"/>
    <col min="8" max="8" width="13.42578125" style="2" bestFit="1" customWidth="1"/>
    <col min="9" max="9" width="9.140625" style="2"/>
    <col min="10" max="10" width="11.7109375" style="2" bestFit="1" customWidth="1"/>
    <col min="11" max="11" width="13.28515625" style="2" bestFit="1" customWidth="1"/>
    <col min="12" max="12" width="11.7109375" style="2" bestFit="1" customWidth="1"/>
    <col min="13" max="13" width="10.42578125" style="2" bestFit="1" customWidth="1"/>
    <col min="14" max="16384" width="9.140625" style="2"/>
  </cols>
  <sheetData>
    <row r="1" spans="1:13" x14ac:dyDescent="0.25">
      <c r="A1" s="67" t="s">
        <v>92</v>
      </c>
      <c r="C1" s="36"/>
    </row>
    <row r="2" spans="1:13" ht="30" x14ac:dyDescent="0.25">
      <c r="A2" s="6" t="s">
        <v>27</v>
      </c>
      <c r="B2" s="10">
        <f>Инвестиции!C10</f>
        <v>0.64718415637179327</v>
      </c>
      <c r="D2" s="5" t="s">
        <v>0</v>
      </c>
      <c r="E2" s="4">
        <f>D57</f>
        <v>5557.5470390145838</v>
      </c>
      <c r="G2" s="2" t="s">
        <v>13</v>
      </c>
      <c r="H2" s="4">
        <f>SUM(B9:B20)</f>
        <v>358.36003916855213</v>
      </c>
      <c r="J2" s="1" t="s">
        <v>25</v>
      </c>
    </row>
    <row r="3" spans="1:13" x14ac:dyDescent="0.25">
      <c r="A3" s="5" t="s">
        <v>14</v>
      </c>
      <c r="B3" s="34">
        <f>-Инвестиции*B2</f>
        <v>-4890.3500000000004</v>
      </c>
      <c r="D3" s="5" t="s">
        <v>15</v>
      </c>
      <c r="E3" s="4">
        <f>B57</f>
        <v>667.19703901458024</v>
      </c>
      <c r="H3" s="4">
        <f>SUM(B21:B32)</f>
        <v>226.29026855990372</v>
      </c>
      <c r="J3" s="4">
        <f>H2</f>
        <v>358.36003916855213</v>
      </c>
      <c r="K3" s="4">
        <f>H3</f>
        <v>226.29026855990372</v>
      </c>
      <c r="L3" s="4">
        <f>H4</f>
        <v>82.546731286124285</v>
      </c>
      <c r="M3" s="4">
        <f>H5</f>
        <v>0</v>
      </c>
    </row>
    <row r="4" spans="1:13" ht="15.75" x14ac:dyDescent="0.25">
      <c r="A4" s="5" t="s">
        <v>16</v>
      </c>
      <c r="B4" s="11">
        <v>8.5000000000000006E-2</v>
      </c>
      <c r="D4" s="5" t="s">
        <v>17</v>
      </c>
      <c r="E4" s="4">
        <f>C57</f>
        <v>4890.3500000000031</v>
      </c>
      <c r="H4" s="4">
        <f>SUM(B33:B44)</f>
        <v>82.546731286124285</v>
      </c>
      <c r="J4" s="72" t="s">
        <v>72</v>
      </c>
      <c r="K4" s="72"/>
      <c r="L4" s="72"/>
      <c r="M4" s="72"/>
    </row>
    <row r="5" spans="1:13" x14ac:dyDescent="0.25">
      <c r="A5" s="5" t="s">
        <v>18</v>
      </c>
      <c r="B5" s="5">
        <v>3</v>
      </c>
      <c r="H5" s="4">
        <f>SUM(B45:B56)</f>
        <v>0</v>
      </c>
      <c r="J5" s="4">
        <f>SUM(C9:C20)</f>
        <v>1494.1556405029753</v>
      </c>
      <c r="K5" s="4">
        <f>SUM(C21:C32)</f>
        <v>1626.2254111116233</v>
      </c>
      <c r="L5" s="4">
        <f>SUM(C33:C44)</f>
        <v>1769.9689483854031</v>
      </c>
      <c r="M5" s="4">
        <f>SUM(C45:C56)</f>
        <v>0</v>
      </c>
    </row>
    <row r="6" spans="1:13" x14ac:dyDescent="0.25">
      <c r="A6" s="5" t="s">
        <v>19</v>
      </c>
      <c r="B6" s="5">
        <v>12</v>
      </c>
      <c r="H6" s="4">
        <f>SUM(H2:H5)</f>
        <v>667.19703901458013</v>
      </c>
      <c r="J6" s="28">
        <f>SUM(J5:M5)+B3</f>
        <v>0</v>
      </c>
      <c r="K6" s="37"/>
    </row>
    <row r="7" spans="1:13" x14ac:dyDescent="0.25">
      <c r="A7" s="5" t="s">
        <v>20</v>
      </c>
      <c r="B7" s="3">
        <f>PMT(B4/B6,B5*B6,B3)</f>
        <v>154.37630663929394</v>
      </c>
      <c r="C7" s="13">
        <f>B7*B6*B5</f>
        <v>5557.547039014582</v>
      </c>
      <c r="J7" s="1" t="s">
        <v>86</v>
      </c>
    </row>
    <row r="8" spans="1:13" x14ac:dyDescent="0.25">
      <c r="B8" s="2" t="s">
        <v>21</v>
      </c>
      <c r="C8" s="2" t="s">
        <v>22</v>
      </c>
      <c r="D8" s="2" t="s">
        <v>20</v>
      </c>
      <c r="J8" s="64">
        <f>-0.75%*B3</f>
        <v>36.677624999999999</v>
      </c>
    </row>
    <row r="9" spans="1:13" x14ac:dyDescent="0.25">
      <c r="A9" s="5">
        <v>1</v>
      </c>
      <c r="B9" s="3">
        <f t="shared" ref="B9:B56" si="0">IFERROR(IPMT($B$4/$B$6,A9,$B$5*$B$6,$B$3),0)</f>
        <v>34.63997916666667</v>
      </c>
      <c r="C9" s="3">
        <f t="shared" ref="C9:C56" si="1">IFERROR(PPMT($B$4/$B$6,A9,$B$5*$B$6,$B$3),0)</f>
        <v>119.73632747262728</v>
      </c>
      <c r="D9" s="3">
        <f>B9+C9</f>
        <v>154.37630663929394</v>
      </c>
    </row>
    <row r="10" spans="1:13" x14ac:dyDescent="0.25">
      <c r="A10" s="5">
        <v>2</v>
      </c>
      <c r="B10" s="3">
        <f t="shared" si="0"/>
        <v>33.791846847068896</v>
      </c>
      <c r="C10" s="3">
        <f t="shared" si="1"/>
        <v>120.58445979222503</v>
      </c>
      <c r="D10" s="3">
        <f t="shared" ref="D10:D57" si="2">B10+C10</f>
        <v>154.37630663929394</v>
      </c>
    </row>
    <row r="11" spans="1:13" x14ac:dyDescent="0.25">
      <c r="A11" s="5">
        <v>3</v>
      </c>
      <c r="B11" s="3">
        <f t="shared" si="0"/>
        <v>32.937706923540638</v>
      </c>
      <c r="C11" s="3">
        <f t="shared" si="1"/>
        <v>121.4385997157533</v>
      </c>
      <c r="D11" s="3">
        <f t="shared" si="2"/>
        <v>154.37630663929394</v>
      </c>
    </row>
    <row r="12" spans="1:13" x14ac:dyDescent="0.25">
      <c r="A12" s="5">
        <v>4</v>
      </c>
      <c r="B12" s="3">
        <f t="shared" si="0"/>
        <v>32.077516842220717</v>
      </c>
      <c r="C12" s="3">
        <f t="shared" si="1"/>
        <v>122.2987897970732</v>
      </c>
      <c r="D12" s="3">
        <f t="shared" si="2"/>
        <v>154.37630663929392</v>
      </c>
    </row>
    <row r="13" spans="1:13" x14ac:dyDescent="0.25">
      <c r="A13" s="5">
        <v>5</v>
      </c>
      <c r="B13" s="3">
        <f t="shared" si="0"/>
        <v>31.211233747824789</v>
      </c>
      <c r="C13" s="3">
        <f t="shared" si="1"/>
        <v>123.16507289146918</v>
      </c>
      <c r="D13" s="3">
        <f t="shared" si="2"/>
        <v>154.37630663929397</v>
      </c>
    </row>
    <row r="14" spans="1:13" x14ac:dyDescent="0.25">
      <c r="A14" s="5">
        <v>6</v>
      </c>
      <c r="B14" s="3">
        <f t="shared" si="0"/>
        <v>30.338814481510216</v>
      </c>
      <c r="C14" s="3">
        <f t="shared" si="1"/>
        <v>124.03749215778375</v>
      </c>
      <c r="D14" s="3">
        <f t="shared" si="2"/>
        <v>154.37630663929397</v>
      </c>
    </row>
    <row r="15" spans="1:13" x14ac:dyDescent="0.25">
      <c r="A15" s="5">
        <v>7</v>
      </c>
      <c r="B15" s="3">
        <f t="shared" si="0"/>
        <v>29.460215578725911</v>
      </c>
      <c r="C15" s="3">
        <f t="shared" si="1"/>
        <v>124.91609106056804</v>
      </c>
      <c r="D15" s="3">
        <f t="shared" si="2"/>
        <v>154.37630663929394</v>
      </c>
    </row>
    <row r="16" spans="1:13" x14ac:dyDescent="0.25">
      <c r="A16" s="5">
        <v>8</v>
      </c>
      <c r="B16" s="3">
        <f t="shared" si="0"/>
        <v>28.575393267046884</v>
      </c>
      <c r="C16" s="3">
        <f t="shared" si="1"/>
        <v>125.80091337224705</v>
      </c>
      <c r="D16" s="3">
        <f t="shared" si="2"/>
        <v>154.37630663929394</v>
      </c>
    </row>
    <row r="17" spans="1:4" x14ac:dyDescent="0.25">
      <c r="A17" s="5">
        <v>9</v>
      </c>
      <c r="B17" s="3">
        <f t="shared" si="0"/>
        <v>27.684303463993469</v>
      </c>
      <c r="C17" s="3">
        <f t="shared" si="1"/>
        <v>126.69200317530047</v>
      </c>
      <c r="D17" s="3">
        <f t="shared" si="2"/>
        <v>154.37630663929394</v>
      </c>
    </row>
    <row r="18" spans="1:4" x14ac:dyDescent="0.25">
      <c r="A18" s="5">
        <v>10</v>
      </c>
      <c r="B18" s="3">
        <f t="shared" si="0"/>
        <v>26.786901774835091</v>
      </c>
      <c r="C18" s="3">
        <f t="shared" si="1"/>
        <v>127.58940486445886</v>
      </c>
      <c r="D18" s="3">
        <f t="shared" si="2"/>
        <v>154.37630663929394</v>
      </c>
    </row>
    <row r="19" spans="1:4" x14ac:dyDescent="0.25">
      <c r="A19" s="5">
        <v>11</v>
      </c>
      <c r="B19" s="3">
        <f t="shared" si="0"/>
        <v>25.883143490378512</v>
      </c>
      <c r="C19" s="3">
        <f t="shared" si="1"/>
        <v>128.49316314891544</v>
      </c>
      <c r="D19" s="3">
        <f t="shared" si="2"/>
        <v>154.37630663929394</v>
      </c>
    </row>
    <row r="20" spans="1:4" x14ac:dyDescent="0.25">
      <c r="A20" s="5">
        <v>12</v>
      </c>
      <c r="B20" s="3">
        <f t="shared" si="0"/>
        <v>24.972983584740355</v>
      </c>
      <c r="C20" s="3">
        <f t="shared" si="1"/>
        <v>129.4033230545536</v>
      </c>
      <c r="D20" s="3">
        <f t="shared" si="2"/>
        <v>154.37630663929394</v>
      </c>
    </row>
    <row r="21" spans="1:4" x14ac:dyDescent="0.25">
      <c r="A21" s="5">
        <v>13</v>
      </c>
      <c r="B21" s="3">
        <f t="shared" si="0"/>
        <v>24.056376713103941</v>
      </c>
      <c r="C21" s="3">
        <f t="shared" si="1"/>
        <v>130.31992992619001</v>
      </c>
      <c r="D21" s="3">
        <f t="shared" si="2"/>
        <v>154.37630663929394</v>
      </c>
    </row>
    <row r="22" spans="1:4" x14ac:dyDescent="0.25">
      <c r="A22" s="5">
        <v>14</v>
      </c>
      <c r="B22" s="3">
        <f t="shared" si="0"/>
        <v>23.13327720946009</v>
      </c>
      <c r="C22" s="3">
        <f t="shared" si="1"/>
        <v>131.24302942983385</v>
      </c>
      <c r="D22" s="3">
        <f t="shared" si="2"/>
        <v>154.37630663929394</v>
      </c>
    </row>
    <row r="23" spans="1:4" x14ac:dyDescent="0.25">
      <c r="A23" s="5">
        <v>15</v>
      </c>
      <c r="B23" s="3">
        <f t="shared" si="0"/>
        <v>22.203639084332103</v>
      </c>
      <c r="C23" s="3">
        <f t="shared" si="1"/>
        <v>132.17266755496183</v>
      </c>
      <c r="D23" s="3">
        <f t="shared" si="2"/>
        <v>154.37630663929394</v>
      </c>
    </row>
    <row r="24" spans="1:4" x14ac:dyDescent="0.25">
      <c r="A24" s="5">
        <v>16</v>
      </c>
      <c r="B24" s="3">
        <f t="shared" si="0"/>
        <v>21.267416022484451</v>
      </c>
      <c r="C24" s="3">
        <f t="shared" si="1"/>
        <v>133.10889061680948</v>
      </c>
      <c r="D24" s="3">
        <f t="shared" si="2"/>
        <v>154.37630663929392</v>
      </c>
    </row>
    <row r="25" spans="1:4" x14ac:dyDescent="0.25">
      <c r="A25" s="5">
        <v>17</v>
      </c>
      <c r="B25" s="3">
        <f t="shared" si="0"/>
        <v>20.324561380615389</v>
      </c>
      <c r="C25" s="3">
        <f t="shared" si="1"/>
        <v>134.05174525867855</v>
      </c>
      <c r="D25" s="3">
        <f t="shared" si="2"/>
        <v>154.37630663929394</v>
      </c>
    </row>
    <row r="26" spans="1:4" x14ac:dyDescent="0.25">
      <c r="A26" s="5">
        <v>18</v>
      </c>
      <c r="B26" s="3">
        <f t="shared" si="0"/>
        <v>19.375028185033084</v>
      </c>
      <c r="C26" s="3">
        <f t="shared" si="1"/>
        <v>135.00127845426084</v>
      </c>
      <c r="D26" s="3">
        <f t="shared" si="2"/>
        <v>154.37630663929392</v>
      </c>
    </row>
    <row r="27" spans="1:4" x14ac:dyDescent="0.25">
      <c r="A27" s="5">
        <v>19</v>
      </c>
      <c r="B27" s="3">
        <f t="shared" si="0"/>
        <v>18.4187691293154</v>
      </c>
      <c r="C27" s="3">
        <f t="shared" si="1"/>
        <v>135.95753750997855</v>
      </c>
      <c r="D27" s="3">
        <f t="shared" si="2"/>
        <v>154.37630663929394</v>
      </c>
    </row>
    <row r="28" spans="1:4" x14ac:dyDescent="0.25">
      <c r="A28" s="5">
        <v>20</v>
      </c>
      <c r="B28" s="3">
        <f t="shared" si="0"/>
        <v>17.455736571953054</v>
      </c>
      <c r="C28" s="3">
        <f t="shared" si="1"/>
        <v>136.92057006734089</v>
      </c>
      <c r="D28" s="3">
        <f t="shared" si="2"/>
        <v>154.37630663929394</v>
      </c>
    </row>
    <row r="29" spans="1:4" x14ac:dyDescent="0.25">
      <c r="A29" s="5">
        <v>21</v>
      </c>
      <c r="B29" s="3">
        <f t="shared" si="0"/>
        <v>16.485882533976056</v>
      </c>
      <c r="C29" s="3">
        <f t="shared" si="1"/>
        <v>137.89042410531789</v>
      </c>
      <c r="D29" s="3">
        <f t="shared" si="2"/>
        <v>154.37630663929394</v>
      </c>
    </row>
    <row r="30" spans="1:4" x14ac:dyDescent="0.25">
      <c r="A30" s="5">
        <v>22</v>
      </c>
      <c r="B30" s="3">
        <f t="shared" si="0"/>
        <v>15.509158696563386</v>
      </c>
      <c r="C30" s="3">
        <f t="shared" si="1"/>
        <v>138.86714794273058</v>
      </c>
      <c r="D30" s="3">
        <f t="shared" si="2"/>
        <v>154.37630663929397</v>
      </c>
    </row>
    <row r="31" spans="1:4" x14ac:dyDescent="0.25">
      <c r="A31" s="5">
        <v>23</v>
      </c>
      <c r="B31" s="3">
        <f t="shared" si="0"/>
        <v>14.525516398635711</v>
      </c>
      <c r="C31" s="3">
        <f t="shared" si="1"/>
        <v>139.85079024065823</v>
      </c>
      <c r="D31" s="3">
        <f t="shared" si="2"/>
        <v>154.37630663929394</v>
      </c>
    </row>
    <row r="32" spans="1:4" x14ac:dyDescent="0.25">
      <c r="A32" s="5">
        <v>24</v>
      </c>
      <c r="B32" s="3">
        <f t="shared" si="0"/>
        <v>13.534906634431048</v>
      </c>
      <c r="C32" s="3">
        <f t="shared" si="1"/>
        <v>140.84140000486289</v>
      </c>
      <c r="D32" s="3">
        <f t="shared" si="2"/>
        <v>154.37630663929394</v>
      </c>
    </row>
    <row r="33" spans="1:11" x14ac:dyDescent="0.25">
      <c r="A33" s="5">
        <v>25</v>
      </c>
      <c r="B33" s="3">
        <f t="shared" si="0"/>
        <v>12.537280051063272</v>
      </c>
      <c r="C33" s="3">
        <f t="shared" si="1"/>
        <v>141.83902658823067</v>
      </c>
      <c r="D33" s="3">
        <f t="shared" si="2"/>
        <v>154.37630663929394</v>
      </c>
    </row>
    <row r="34" spans="1:11" x14ac:dyDescent="0.25">
      <c r="A34" s="5">
        <v>26</v>
      </c>
      <c r="B34" s="3">
        <f t="shared" si="0"/>
        <v>11.532586946063303</v>
      </c>
      <c r="C34" s="3">
        <f t="shared" si="1"/>
        <v>142.84371969323064</v>
      </c>
      <c r="D34" s="3">
        <f t="shared" si="2"/>
        <v>154.37630663929394</v>
      </c>
    </row>
    <row r="35" spans="1:11" x14ac:dyDescent="0.25">
      <c r="A35" s="5">
        <v>27</v>
      </c>
      <c r="B35" s="3">
        <f t="shared" si="0"/>
        <v>10.520777264902918</v>
      </c>
      <c r="C35" s="3">
        <f t="shared" si="1"/>
        <v>143.85552937439101</v>
      </c>
      <c r="D35" s="3">
        <f t="shared" si="2"/>
        <v>154.37630663929394</v>
      </c>
    </row>
    <row r="36" spans="1:11" x14ac:dyDescent="0.25">
      <c r="A36" s="5">
        <v>28</v>
      </c>
      <c r="B36" s="3">
        <f t="shared" si="0"/>
        <v>9.5018005985009832</v>
      </c>
      <c r="C36" s="3">
        <f t="shared" si="1"/>
        <v>144.87450604079297</v>
      </c>
      <c r="D36" s="3">
        <f t="shared" si="2"/>
        <v>154.37630663929394</v>
      </c>
    </row>
    <row r="37" spans="1:11" x14ac:dyDescent="0.25">
      <c r="A37" s="5">
        <v>29</v>
      </c>
      <c r="B37" s="3">
        <f t="shared" si="0"/>
        <v>8.4756061807120329</v>
      </c>
      <c r="C37" s="3">
        <f t="shared" si="1"/>
        <v>145.90070045858189</v>
      </c>
      <c r="D37" s="3">
        <f t="shared" si="2"/>
        <v>154.37630663929392</v>
      </c>
    </row>
    <row r="38" spans="1:11" x14ac:dyDescent="0.25">
      <c r="A38" s="5">
        <v>30</v>
      </c>
      <c r="B38" s="3">
        <f t="shared" si="0"/>
        <v>7.4421428857970771</v>
      </c>
      <c r="C38" s="3">
        <f t="shared" si="1"/>
        <v>146.93416375349688</v>
      </c>
      <c r="D38" s="3">
        <f t="shared" si="2"/>
        <v>154.37630663929394</v>
      </c>
    </row>
    <row r="39" spans="1:11" x14ac:dyDescent="0.25">
      <c r="A39" s="5">
        <v>31</v>
      </c>
      <c r="B39" s="3">
        <f t="shared" si="0"/>
        <v>6.4013592258764751</v>
      </c>
      <c r="C39" s="3">
        <f t="shared" si="1"/>
        <v>147.97494741341745</v>
      </c>
      <c r="D39" s="3">
        <f t="shared" si="2"/>
        <v>154.37630663929392</v>
      </c>
      <c r="K39" s="13"/>
    </row>
    <row r="40" spans="1:11" x14ac:dyDescent="0.25">
      <c r="A40" s="5">
        <v>32</v>
      </c>
      <c r="B40" s="3">
        <f t="shared" si="0"/>
        <v>5.3532033483647696</v>
      </c>
      <c r="C40" s="3">
        <f t="shared" si="1"/>
        <v>149.02310329092919</v>
      </c>
      <c r="D40" s="3">
        <f t="shared" si="2"/>
        <v>154.37630663929394</v>
      </c>
    </row>
    <row r="41" spans="1:11" x14ac:dyDescent="0.25">
      <c r="A41" s="5">
        <v>33</v>
      </c>
      <c r="B41" s="3">
        <f t="shared" si="0"/>
        <v>4.297623033387354</v>
      </c>
      <c r="C41" s="3">
        <f t="shared" si="1"/>
        <v>150.0786836059066</v>
      </c>
      <c r="D41" s="3">
        <f t="shared" si="2"/>
        <v>154.37630663929397</v>
      </c>
    </row>
    <row r="42" spans="1:11" x14ac:dyDescent="0.25">
      <c r="A42" s="5">
        <v>34</v>
      </c>
      <c r="B42" s="3">
        <f t="shared" si="0"/>
        <v>3.2345656911788483</v>
      </c>
      <c r="C42" s="3">
        <f t="shared" si="1"/>
        <v>151.14174094811509</v>
      </c>
      <c r="D42" s="3">
        <f t="shared" si="2"/>
        <v>154.37630663929394</v>
      </c>
    </row>
    <row r="43" spans="1:11" x14ac:dyDescent="0.25">
      <c r="A43" s="5">
        <v>35</v>
      </c>
      <c r="B43" s="3">
        <f t="shared" si="0"/>
        <v>2.1639783594630329</v>
      </c>
      <c r="C43" s="3">
        <f t="shared" si="1"/>
        <v>152.2123282798309</v>
      </c>
      <c r="D43" s="3">
        <f t="shared" si="2"/>
        <v>154.37630663929394</v>
      </c>
    </row>
    <row r="44" spans="1:11" x14ac:dyDescent="0.25">
      <c r="A44" s="5">
        <v>36</v>
      </c>
      <c r="B44" s="3">
        <f t="shared" si="0"/>
        <v>1.0858077008142313</v>
      </c>
      <c r="C44" s="3">
        <f t="shared" si="1"/>
        <v>153.29049893847971</v>
      </c>
      <c r="D44" s="3">
        <f t="shared" si="2"/>
        <v>154.37630663929394</v>
      </c>
    </row>
    <row r="45" spans="1:11" x14ac:dyDescent="0.25">
      <c r="A45" s="5">
        <v>37</v>
      </c>
      <c r="B45" s="3">
        <f t="shared" si="0"/>
        <v>0</v>
      </c>
      <c r="C45" s="3">
        <f t="shared" si="1"/>
        <v>0</v>
      </c>
      <c r="D45" s="3">
        <f t="shared" si="2"/>
        <v>0</v>
      </c>
    </row>
    <row r="46" spans="1:11" x14ac:dyDescent="0.25">
      <c r="A46" s="5">
        <v>38</v>
      </c>
      <c r="B46" s="3">
        <f t="shared" si="0"/>
        <v>0</v>
      </c>
      <c r="C46" s="3">
        <f t="shared" si="1"/>
        <v>0</v>
      </c>
      <c r="D46" s="3">
        <f t="shared" si="2"/>
        <v>0</v>
      </c>
    </row>
    <row r="47" spans="1:11" x14ac:dyDescent="0.25">
      <c r="A47" s="5">
        <v>39</v>
      </c>
      <c r="B47" s="3">
        <f t="shared" si="0"/>
        <v>0</v>
      </c>
      <c r="C47" s="3">
        <f t="shared" si="1"/>
        <v>0</v>
      </c>
      <c r="D47" s="3">
        <f t="shared" si="2"/>
        <v>0</v>
      </c>
    </row>
    <row r="48" spans="1:11" x14ac:dyDescent="0.25">
      <c r="A48" s="5">
        <v>40</v>
      </c>
      <c r="B48" s="3">
        <f t="shared" si="0"/>
        <v>0</v>
      </c>
      <c r="C48" s="3">
        <f t="shared" si="1"/>
        <v>0</v>
      </c>
      <c r="D48" s="3">
        <f t="shared" si="2"/>
        <v>0</v>
      </c>
    </row>
    <row r="49" spans="1:4" x14ac:dyDescent="0.25">
      <c r="A49" s="5">
        <v>41</v>
      </c>
      <c r="B49" s="3">
        <f t="shared" si="0"/>
        <v>0</v>
      </c>
      <c r="C49" s="3">
        <f t="shared" si="1"/>
        <v>0</v>
      </c>
      <c r="D49" s="3">
        <f t="shared" si="2"/>
        <v>0</v>
      </c>
    </row>
    <row r="50" spans="1:4" x14ac:dyDescent="0.25">
      <c r="A50" s="5">
        <v>42</v>
      </c>
      <c r="B50" s="3">
        <f t="shared" si="0"/>
        <v>0</v>
      </c>
      <c r="C50" s="3">
        <f t="shared" si="1"/>
        <v>0</v>
      </c>
      <c r="D50" s="3">
        <f t="shared" si="2"/>
        <v>0</v>
      </c>
    </row>
    <row r="51" spans="1:4" x14ac:dyDescent="0.25">
      <c r="A51" s="5">
        <v>43</v>
      </c>
      <c r="B51" s="3">
        <f t="shared" si="0"/>
        <v>0</v>
      </c>
      <c r="C51" s="3">
        <f t="shared" si="1"/>
        <v>0</v>
      </c>
      <c r="D51" s="3">
        <f t="shared" si="2"/>
        <v>0</v>
      </c>
    </row>
    <row r="52" spans="1:4" x14ac:dyDescent="0.25">
      <c r="A52" s="5">
        <v>44</v>
      </c>
      <c r="B52" s="3">
        <f t="shared" si="0"/>
        <v>0</v>
      </c>
      <c r="C52" s="3">
        <f t="shared" si="1"/>
        <v>0</v>
      </c>
      <c r="D52" s="3">
        <f t="shared" si="2"/>
        <v>0</v>
      </c>
    </row>
    <row r="53" spans="1:4" x14ac:dyDescent="0.25">
      <c r="A53" s="5">
        <v>45</v>
      </c>
      <c r="B53" s="3">
        <f t="shared" si="0"/>
        <v>0</v>
      </c>
      <c r="C53" s="3">
        <f t="shared" si="1"/>
        <v>0</v>
      </c>
      <c r="D53" s="3">
        <f t="shared" si="2"/>
        <v>0</v>
      </c>
    </row>
    <row r="54" spans="1:4" x14ac:dyDescent="0.25">
      <c r="A54" s="5">
        <v>46</v>
      </c>
      <c r="B54" s="3">
        <f t="shared" si="0"/>
        <v>0</v>
      </c>
      <c r="C54" s="3">
        <f t="shared" si="1"/>
        <v>0</v>
      </c>
      <c r="D54" s="3">
        <f t="shared" si="2"/>
        <v>0</v>
      </c>
    </row>
    <row r="55" spans="1:4" x14ac:dyDescent="0.25">
      <c r="A55" s="5">
        <v>47</v>
      </c>
      <c r="B55" s="3">
        <f t="shared" si="0"/>
        <v>0</v>
      </c>
      <c r="C55" s="3">
        <f t="shared" si="1"/>
        <v>0</v>
      </c>
      <c r="D55" s="3">
        <f t="shared" si="2"/>
        <v>0</v>
      </c>
    </row>
    <row r="56" spans="1:4" x14ac:dyDescent="0.25">
      <c r="A56" s="5">
        <v>48</v>
      </c>
      <c r="B56" s="3">
        <f t="shared" si="0"/>
        <v>0</v>
      </c>
      <c r="C56" s="3">
        <f t="shared" si="1"/>
        <v>0</v>
      </c>
      <c r="D56" s="3">
        <f t="shared" si="2"/>
        <v>0</v>
      </c>
    </row>
    <row r="57" spans="1:4" x14ac:dyDescent="0.25">
      <c r="B57" s="14">
        <f>SUM(B9:B56)</f>
        <v>667.19703901458024</v>
      </c>
      <c r="C57" s="14">
        <f>SUM(C9:C56)</f>
        <v>4890.3500000000031</v>
      </c>
      <c r="D57" s="14">
        <f t="shared" si="2"/>
        <v>5557.5470390145838</v>
      </c>
    </row>
  </sheetData>
  <mergeCells count="1">
    <mergeCell ref="J4:M4"/>
  </mergeCells>
  <hyperlinks>
    <hyperlink ref="A1" location="Оглавление!A1" display="Возврат к оглавлению" xr:uid="{62B9E9CA-B982-4D88-A6E0-1610629CECC8}"/>
  </hyperlink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7AF0B-ABA4-4DF8-995C-98E5B74D806A}">
  <sheetPr>
    <tabColor theme="9"/>
  </sheetPr>
  <dimension ref="A1:N42"/>
  <sheetViews>
    <sheetView showGridLines="0" workbookViewId="0">
      <selection activeCell="D3" sqref="D3"/>
    </sheetView>
  </sheetViews>
  <sheetFormatPr defaultRowHeight="15" x14ac:dyDescent="0.25"/>
  <cols>
    <col min="1" max="1" width="40.85546875" style="2" customWidth="1"/>
    <col min="2" max="2" width="11.7109375" style="2" bestFit="1" customWidth="1"/>
    <col min="3" max="3" width="17" style="2" bestFit="1" customWidth="1"/>
    <col min="4" max="4" width="19" style="2" bestFit="1" customWidth="1"/>
    <col min="5" max="5" width="14.5703125" style="2" bestFit="1" customWidth="1"/>
    <col min="6" max="6" width="14.85546875" style="2" customWidth="1"/>
    <col min="7" max="7" width="16.85546875" style="2" customWidth="1"/>
    <col min="8" max="8" width="11.5703125" style="2" bestFit="1" customWidth="1"/>
    <col min="9" max="9" width="16.7109375" style="2" customWidth="1"/>
    <col min="10" max="13" width="11.5703125" style="2" bestFit="1" customWidth="1"/>
    <col min="14" max="14" width="12.7109375" style="2" bestFit="1" customWidth="1"/>
    <col min="15" max="15" width="34.5703125" style="2" bestFit="1" customWidth="1"/>
    <col min="16" max="16384" width="9.140625" style="2"/>
  </cols>
  <sheetData>
    <row r="1" spans="1:13" x14ac:dyDescent="0.25">
      <c r="A1" s="49" t="s">
        <v>67</v>
      </c>
    </row>
    <row r="2" spans="1:13" ht="30" x14ac:dyDescent="0.25">
      <c r="A2" s="50" t="s">
        <v>30</v>
      </c>
      <c r="B2" s="51" t="s">
        <v>31</v>
      </c>
      <c r="C2" s="51" t="s">
        <v>32</v>
      </c>
      <c r="D2" s="51" t="s">
        <v>107</v>
      </c>
      <c r="E2" s="51" t="s">
        <v>105</v>
      </c>
      <c r="F2" s="51" t="s">
        <v>33</v>
      </c>
      <c r="G2" s="51" t="s">
        <v>106</v>
      </c>
      <c r="H2" s="51" t="s">
        <v>28</v>
      </c>
      <c r="I2" s="51" t="s">
        <v>52</v>
      </c>
    </row>
    <row r="3" spans="1:13" x14ac:dyDescent="0.25">
      <c r="A3" s="50" t="s">
        <v>94</v>
      </c>
      <c r="B3" s="50">
        <v>15000</v>
      </c>
      <c r="C3" s="50">
        <v>2500</v>
      </c>
      <c r="D3" s="50">
        <v>600</v>
      </c>
      <c r="E3" s="50"/>
      <c r="F3" s="50"/>
      <c r="G3" s="50"/>
      <c r="H3" s="50">
        <f>B3-C3-D3-F3-E3-G3</f>
        <v>11900</v>
      </c>
      <c r="I3" s="52">
        <f>H3/B3</f>
        <v>0.79333333333333333</v>
      </c>
    </row>
    <row r="4" spans="1:13" x14ac:dyDescent="0.25">
      <c r="A4" s="50" t="s">
        <v>95</v>
      </c>
      <c r="B4" s="50">
        <v>60000</v>
      </c>
      <c r="C4" s="50">
        <v>15000</v>
      </c>
      <c r="D4" s="50">
        <v>4000</v>
      </c>
      <c r="E4" s="50"/>
      <c r="F4" s="50">
        <v>3000</v>
      </c>
      <c r="G4" s="50"/>
      <c r="H4" s="50">
        <f t="shared" ref="H4:H11" si="0">B4-C4-D4-F4-E4-G4</f>
        <v>38000</v>
      </c>
      <c r="I4" s="52">
        <f t="shared" ref="I4:I10" si="1">H4/B4</f>
        <v>0.6333333333333333</v>
      </c>
    </row>
    <row r="5" spans="1:13" x14ac:dyDescent="0.25">
      <c r="A5" s="50" t="s">
        <v>96</v>
      </c>
      <c r="B5" s="50">
        <v>10000</v>
      </c>
      <c r="C5" s="50">
        <v>2500</v>
      </c>
      <c r="D5" s="50">
        <v>600</v>
      </c>
      <c r="E5" s="50">
        <v>1000</v>
      </c>
      <c r="F5" s="50"/>
      <c r="G5" s="50"/>
      <c r="H5" s="50">
        <f t="shared" si="0"/>
        <v>5900</v>
      </c>
      <c r="I5" s="52">
        <f t="shared" si="1"/>
        <v>0.59</v>
      </c>
    </row>
    <row r="6" spans="1:13" x14ac:dyDescent="0.25">
      <c r="A6" s="50" t="s">
        <v>97</v>
      </c>
      <c r="B6" s="50">
        <v>20000</v>
      </c>
      <c r="C6" s="50">
        <v>4000</v>
      </c>
      <c r="D6" s="50">
        <v>1000</v>
      </c>
      <c r="E6" s="50"/>
      <c r="F6" s="50"/>
      <c r="G6" s="50"/>
      <c r="H6" s="50">
        <f t="shared" si="0"/>
        <v>15000</v>
      </c>
      <c r="I6" s="52">
        <f t="shared" si="1"/>
        <v>0.75</v>
      </c>
    </row>
    <row r="7" spans="1:13" x14ac:dyDescent="0.25">
      <c r="A7" s="50" t="s">
        <v>98</v>
      </c>
      <c r="B7" s="50">
        <v>150000</v>
      </c>
      <c r="C7" s="50">
        <v>50000</v>
      </c>
      <c r="D7" s="50">
        <v>10000</v>
      </c>
      <c r="E7" s="50"/>
      <c r="F7" s="50"/>
      <c r="G7" s="50">
        <v>25000</v>
      </c>
      <c r="H7" s="50">
        <f t="shared" si="0"/>
        <v>65000</v>
      </c>
      <c r="I7" s="52">
        <f t="shared" si="1"/>
        <v>0.43333333333333335</v>
      </c>
    </row>
    <row r="8" spans="1:13" x14ac:dyDescent="0.25">
      <c r="A8" s="50" t="s">
        <v>99</v>
      </c>
      <c r="B8" s="50">
        <v>50000</v>
      </c>
      <c r="C8" s="50">
        <v>15000</v>
      </c>
      <c r="D8" s="50">
        <v>2000</v>
      </c>
      <c r="E8" s="50"/>
      <c r="F8" s="50">
        <v>3000</v>
      </c>
      <c r="G8" s="50"/>
      <c r="H8" s="50">
        <f t="shared" si="0"/>
        <v>30000</v>
      </c>
      <c r="I8" s="52">
        <f t="shared" si="1"/>
        <v>0.6</v>
      </c>
    </row>
    <row r="9" spans="1:13" x14ac:dyDescent="0.25">
      <c r="A9" s="50" t="s">
        <v>100</v>
      </c>
      <c r="B9" s="50">
        <v>35000</v>
      </c>
      <c r="C9" s="50">
        <v>15000</v>
      </c>
      <c r="D9" s="50">
        <v>3000</v>
      </c>
      <c r="E9" s="50"/>
      <c r="F9" s="50"/>
      <c r="G9" s="50"/>
      <c r="H9" s="50">
        <f t="shared" si="0"/>
        <v>17000</v>
      </c>
      <c r="I9" s="52">
        <f t="shared" si="1"/>
        <v>0.48571428571428571</v>
      </c>
    </row>
    <row r="10" spans="1:13" x14ac:dyDescent="0.25">
      <c r="A10" s="50" t="s">
        <v>101</v>
      </c>
      <c r="B10" s="50">
        <v>50000</v>
      </c>
      <c r="C10" s="50">
        <v>5000</v>
      </c>
      <c r="D10" s="50">
        <v>4000</v>
      </c>
      <c r="E10" s="50"/>
      <c r="F10" s="50"/>
      <c r="G10" s="50"/>
      <c r="H10" s="50">
        <f t="shared" si="0"/>
        <v>41000</v>
      </c>
      <c r="I10" s="52">
        <f t="shared" si="1"/>
        <v>0.82</v>
      </c>
    </row>
    <row r="11" spans="1:13" x14ac:dyDescent="0.25">
      <c r="A11" s="5"/>
      <c r="B11" s="5"/>
      <c r="C11" s="5"/>
      <c r="D11" s="5"/>
      <c r="E11" s="5"/>
      <c r="F11" s="5"/>
      <c r="G11" s="5"/>
      <c r="H11" s="5">
        <f t="shared" si="0"/>
        <v>0</v>
      </c>
    </row>
    <row r="13" spans="1:13" x14ac:dyDescent="0.25">
      <c r="A13" s="1" t="s">
        <v>68</v>
      </c>
    </row>
    <row r="14" spans="1:13" x14ac:dyDescent="0.25">
      <c r="A14" s="39" t="s">
        <v>42</v>
      </c>
      <c r="B14" s="5" t="s">
        <v>44</v>
      </c>
      <c r="C14" s="5" t="s">
        <v>45</v>
      </c>
      <c r="D14" s="5" t="s">
        <v>46</v>
      </c>
      <c r="E14" s="5" t="s">
        <v>47</v>
      </c>
      <c r="F14" s="5" t="s">
        <v>37</v>
      </c>
      <c r="G14" s="5" t="s">
        <v>38</v>
      </c>
      <c r="H14" s="5" t="s">
        <v>39</v>
      </c>
      <c r="I14" s="5" t="s">
        <v>40</v>
      </c>
      <c r="J14" s="5" t="s">
        <v>41</v>
      </c>
      <c r="K14" s="5" t="s">
        <v>48</v>
      </c>
      <c r="L14" s="5" t="s">
        <v>49</v>
      </c>
      <c r="M14" s="5" t="s">
        <v>50</v>
      </c>
    </row>
    <row r="15" spans="1:13" x14ac:dyDescent="0.25">
      <c r="A15" s="50" t="s">
        <v>94</v>
      </c>
      <c r="B15" s="5">
        <v>10</v>
      </c>
      <c r="C15" s="5">
        <v>10</v>
      </c>
      <c r="D15" s="5">
        <v>10</v>
      </c>
      <c r="E15" s="5">
        <v>10</v>
      </c>
      <c r="F15" s="5">
        <v>15</v>
      </c>
      <c r="G15" s="5">
        <v>60</v>
      </c>
      <c r="H15" s="5">
        <v>100</v>
      </c>
      <c r="I15" s="5">
        <v>120</v>
      </c>
      <c r="J15" s="5">
        <v>100</v>
      </c>
      <c r="K15" s="5">
        <v>20</v>
      </c>
      <c r="L15" s="5">
        <v>10</v>
      </c>
      <c r="M15" s="5">
        <v>10</v>
      </c>
    </row>
    <row r="16" spans="1:13" x14ac:dyDescent="0.25">
      <c r="A16" s="50" t="s">
        <v>95</v>
      </c>
      <c r="B16" s="5">
        <v>5</v>
      </c>
      <c r="C16" s="5">
        <v>5</v>
      </c>
      <c r="D16" s="5">
        <v>10</v>
      </c>
      <c r="E16" s="5">
        <v>10</v>
      </c>
      <c r="F16" s="5">
        <v>20</v>
      </c>
      <c r="G16" s="5">
        <v>20</v>
      </c>
      <c r="H16" s="5">
        <v>40</v>
      </c>
      <c r="I16" s="5">
        <v>50</v>
      </c>
      <c r="J16" s="5">
        <v>40</v>
      </c>
      <c r="K16" s="5">
        <v>10</v>
      </c>
      <c r="L16" s="5">
        <v>10</v>
      </c>
      <c r="M16" s="5">
        <v>10</v>
      </c>
    </row>
    <row r="17" spans="1:14" x14ac:dyDescent="0.25">
      <c r="A17" s="50" t="s">
        <v>96</v>
      </c>
      <c r="B17" s="5">
        <v>20</v>
      </c>
      <c r="C17" s="5">
        <v>20</v>
      </c>
      <c r="D17" s="5">
        <v>20</v>
      </c>
      <c r="E17" s="5">
        <v>20</v>
      </c>
      <c r="F17" s="5">
        <v>30</v>
      </c>
      <c r="G17" s="5">
        <v>30</v>
      </c>
      <c r="H17" s="5">
        <v>30</v>
      </c>
      <c r="I17" s="5">
        <v>30</v>
      </c>
      <c r="J17" s="5">
        <v>30</v>
      </c>
      <c r="K17" s="5">
        <v>20</v>
      </c>
      <c r="L17" s="5">
        <v>20</v>
      </c>
      <c r="M17" s="5">
        <v>20</v>
      </c>
    </row>
    <row r="18" spans="1:14" x14ac:dyDescent="0.25">
      <c r="A18" s="50" t="s">
        <v>97</v>
      </c>
      <c r="B18" s="5">
        <v>20</v>
      </c>
      <c r="C18" s="5">
        <v>30</v>
      </c>
      <c r="D18" s="5">
        <v>10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</row>
    <row r="19" spans="1:14" x14ac:dyDescent="0.25">
      <c r="A19" s="50" t="s">
        <v>98</v>
      </c>
      <c r="B19" s="5"/>
      <c r="C19" s="5"/>
      <c r="D19" s="5"/>
      <c r="E19" s="5"/>
      <c r="F19" s="5">
        <v>10</v>
      </c>
      <c r="G19" s="5"/>
      <c r="H19" s="5"/>
      <c r="I19" s="5"/>
      <c r="J19" s="5"/>
      <c r="K19" s="5">
        <v>10</v>
      </c>
      <c r="L19" s="5"/>
      <c r="M19" s="5"/>
    </row>
    <row r="20" spans="1:14" x14ac:dyDescent="0.25">
      <c r="A20" s="50" t="s">
        <v>99</v>
      </c>
      <c r="B20" s="5">
        <v>10</v>
      </c>
      <c r="C20" s="5">
        <v>10</v>
      </c>
      <c r="D20" s="5">
        <v>10</v>
      </c>
      <c r="E20" s="5">
        <v>10</v>
      </c>
      <c r="F20" s="5">
        <v>10</v>
      </c>
      <c r="G20" s="5">
        <v>10</v>
      </c>
      <c r="H20" s="5">
        <v>10</v>
      </c>
      <c r="I20" s="5">
        <v>10</v>
      </c>
      <c r="J20" s="5">
        <v>10</v>
      </c>
      <c r="K20" s="5">
        <v>10</v>
      </c>
      <c r="L20" s="5">
        <v>10</v>
      </c>
      <c r="M20" s="5">
        <v>10</v>
      </c>
    </row>
    <row r="21" spans="1:14" x14ac:dyDescent="0.25">
      <c r="A21" s="50" t="s">
        <v>100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5</v>
      </c>
      <c r="H21" s="5">
        <v>10</v>
      </c>
      <c r="I21" s="5">
        <v>15</v>
      </c>
      <c r="J21" s="5">
        <v>15</v>
      </c>
      <c r="K21" s="5">
        <v>5</v>
      </c>
      <c r="L21" s="5">
        <v>0</v>
      </c>
      <c r="M21" s="5">
        <v>0</v>
      </c>
    </row>
    <row r="22" spans="1:14" x14ac:dyDescent="0.25">
      <c r="A22" s="50" t="s">
        <v>101</v>
      </c>
      <c r="B22" s="5">
        <v>0</v>
      </c>
      <c r="C22" s="5">
        <v>0</v>
      </c>
      <c r="D22" s="5">
        <v>0</v>
      </c>
      <c r="E22" s="5">
        <v>0</v>
      </c>
      <c r="F22" s="5">
        <v>5</v>
      </c>
      <c r="G22" s="5">
        <v>10</v>
      </c>
      <c r="H22" s="5">
        <v>10</v>
      </c>
      <c r="I22" s="5">
        <v>15</v>
      </c>
      <c r="J22" s="5">
        <v>10</v>
      </c>
      <c r="K22" s="5">
        <v>5</v>
      </c>
      <c r="L22" s="5">
        <v>0</v>
      </c>
      <c r="M22" s="5">
        <v>0</v>
      </c>
    </row>
    <row r="23" spans="1:14" x14ac:dyDescent="0.25">
      <c r="A23" s="53"/>
    </row>
    <row r="24" spans="1:14" x14ac:dyDescent="0.25">
      <c r="A24" s="49" t="s">
        <v>88</v>
      </c>
    </row>
    <row r="25" spans="1:14" x14ac:dyDescent="0.25">
      <c r="B25" s="43" t="s">
        <v>44</v>
      </c>
      <c r="C25" s="43" t="s">
        <v>45</v>
      </c>
      <c r="D25" s="43" t="s">
        <v>46</v>
      </c>
      <c r="E25" s="43" t="s">
        <v>47</v>
      </c>
      <c r="F25" s="43" t="s">
        <v>37</v>
      </c>
      <c r="G25" s="43" t="s">
        <v>38</v>
      </c>
      <c r="H25" s="43" t="s">
        <v>39</v>
      </c>
      <c r="I25" s="43" t="s">
        <v>40</v>
      </c>
      <c r="J25" s="43" t="s">
        <v>41</v>
      </c>
      <c r="K25" s="43" t="s">
        <v>48</v>
      </c>
      <c r="L25" s="43" t="s">
        <v>49</v>
      </c>
      <c r="M25" s="43" t="s">
        <v>50</v>
      </c>
      <c r="N25" s="39" t="s">
        <v>53</v>
      </c>
    </row>
    <row r="26" spans="1:14" x14ac:dyDescent="0.25">
      <c r="A26" s="39" t="s">
        <v>51</v>
      </c>
      <c r="B26" s="21">
        <f>SUMPRODUCT($B$3:$B$10,B15:B22)</f>
        <v>1550000</v>
      </c>
      <c r="C26" s="21">
        <f t="shared" ref="C26:M26" si="2">SUMPRODUCT($B$3:$B$10,C15:C22)</f>
        <v>1750000</v>
      </c>
      <c r="D26" s="21">
        <f t="shared" si="2"/>
        <v>1650000</v>
      </c>
      <c r="E26" s="21">
        <f t="shared" si="2"/>
        <v>1450000</v>
      </c>
      <c r="F26" s="21">
        <f t="shared" si="2"/>
        <v>3975000</v>
      </c>
      <c r="G26" s="21">
        <f t="shared" si="2"/>
        <v>3575000</v>
      </c>
      <c r="H26" s="21">
        <f t="shared" si="2"/>
        <v>5550000</v>
      </c>
      <c r="I26" s="21">
        <f t="shared" si="2"/>
        <v>6875000</v>
      </c>
      <c r="J26" s="21">
        <f t="shared" si="2"/>
        <v>5725000</v>
      </c>
      <c r="K26" s="21">
        <f t="shared" si="2"/>
        <v>3525000</v>
      </c>
      <c r="L26" s="21">
        <f t="shared" si="2"/>
        <v>1450000</v>
      </c>
      <c r="M26" s="21">
        <f t="shared" si="2"/>
        <v>1450000</v>
      </c>
      <c r="N26" s="8">
        <f>SUM(B26:M26)</f>
        <v>38525000</v>
      </c>
    </row>
    <row r="27" spans="1:14" x14ac:dyDescent="0.25">
      <c r="A27" s="5" t="s">
        <v>32</v>
      </c>
      <c r="B27" s="5">
        <f>SUMPRODUCT($C$3:$C$10,B15:B22)</f>
        <v>380000</v>
      </c>
      <c r="C27" s="5">
        <f t="shared" ref="C27:M27" si="3">SUMPRODUCT($C$3:$C$10,C15:C22)</f>
        <v>420000</v>
      </c>
      <c r="D27" s="5">
        <f t="shared" si="3"/>
        <v>415000</v>
      </c>
      <c r="E27" s="5">
        <f t="shared" si="3"/>
        <v>375000</v>
      </c>
      <c r="F27" s="5">
        <f t="shared" si="3"/>
        <v>1087500</v>
      </c>
      <c r="G27" s="5">
        <f t="shared" si="3"/>
        <v>800000</v>
      </c>
      <c r="H27" s="5">
        <f t="shared" si="3"/>
        <v>1275000</v>
      </c>
      <c r="I27" s="5">
        <f t="shared" si="3"/>
        <v>1575000</v>
      </c>
      <c r="J27" s="5">
        <f t="shared" si="3"/>
        <v>1350000</v>
      </c>
      <c r="K27" s="5">
        <f t="shared" si="3"/>
        <v>1000000</v>
      </c>
      <c r="L27" s="5">
        <f t="shared" si="3"/>
        <v>375000</v>
      </c>
      <c r="M27" s="5">
        <f t="shared" si="3"/>
        <v>375000</v>
      </c>
      <c r="N27" s="8">
        <f t="shared" ref="N27:N32" si="4">SUM(B27:M27)</f>
        <v>9427500</v>
      </c>
    </row>
    <row r="28" spans="1:14" x14ac:dyDescent="0.25">
      <c r="A28" s="5" t="s">
        <v>102</v>
      </c>
      <c r="B28" s="5">
        <f>SUMPRODUCT($D$3:$D$10,B15:B22)</f>
        <v>78000</v>
      </c>
      <c r="C28" s="5">
        <f t="shared" ref="C28:M28" si="5">SUMPRODUCT($D$3:$D$10,C15:C22)</f>
        <v>88000</v>
      </c>
      <c r="D28" s="5">
        <f t="shared" si="5"/>
        <v>88000</v>
      </c>
      <c r="E28" s="5">
        <f t="shared" si="5"/>
        <v>78000</v>
      </c>
      <c r="F28" s="5">
        <f t="shared" si="5"/>
        <v>247000</v>
      </c>
      <c r="G28" s="5">
        <f t="shared" si="5"/>
        <v>209000</v>
      </c>
      <c r="H28" s="5">
        <f t="shared" si="5"/>
        <v>328000</v>
      </c>
      <c r="I28" s="5">
        <f t="shared" si="5"/>
        <v>415000</v>
      </c>
      <c r="J28" s="5">
        <f t="shared" si="5"/>
        <v>343000</v>
      </c>
      <c r="K28" s="5">
        <f t="shared" si="5"/>
        <v>219000</v>
      </c>
      <c r="L28" s="5">
        <f t="shared" si="5"/>
        <v>78000</v>
      </c>
      <c r="M28" s="5">
        <f t="shared" si="5"/>
        <v>78000</v>
      </c>
      <c r="N28" s="8">
        <f t="shared" si="4"/>
        <v>2249000</v>
      </c>
    </row>
    <row r="29" spans="1:14" x14ac:dyDescent="0.25">
      <c r="A29" s="5" t="s">
        <v>103</v>
      </c>
      <c r="B29" s="5">
        <f>SUMPRODUCT($E$3:$E$10,B15:B22)</f>
        <v>20000</v>
      </c>
      <c r="C29" s="5">
        <f t="shared" ref="C29:M29" si="6">SUMPRODUCT($E$3:$E$10,C15:C22)</f>
        <v>20000</v>
      </c>
      <c r="D29" s="5">
        <f t="shared" si="6"/>
        <v>20000</v>
      </c>
      <c r="E29" s="5">
        <f t="shared" si="6"/>
        <v>20000</v>
      </c>
      <c r="F29" s="5">
        <f t="shared" si="6"/>
        <v>30000</v>
      </c>
      <c r="G29" s="5">
        <f t="shared" si="6"/>
        <v>30000</v>
      </c>
      <c r="H29" s="5">
        <f t="shared" si="6"/>
        <v>30000</v>
      </c>
      <c r="I29" s="5">
        <f t="shared" si="6"/>
        <v>30000</v>
      </c>
      <c r="J29" s="5">
        <f t="shared" si="6"/>
        <v>30000</v>
      </c>
      <c r="K29" s="5">
        <f t="shared" si="6"/>
        <v>20000</v>
      </c>
      <c r="L29" s="5">
        <f t="shared" si="6"/>
        <v>20000</v>
      </c>
      <c r="M29" s="5">
        <f t="shared" si="6"/>
        <v>20000</v>
      </c>
      <c r="N29" s="8">
        <f t="shared" si="4"/>
        <v>290000</v>
      </c>
    </row>
    <row r="30" spans="1:14" x14ac:dyDescent="0.25">
      <c r="A30" s="5" t="s">
        <v>33</v>
      </c>
      <c r="B30" s="5">
        <f>SUMPRODUCT($F$3:$F$10,B15:B22)</f>
        <v>45000</v>
      </c>
      <c r="C30" s="5">
        <f t="shared" ref="C30:M30" si="7">SUMPRODUCT($F$3:$F$10,C15:C22)</f>
        <v>45000</v>
      </c>
      <c r="D30" s="5">
        <f t="shared" si="7"/>
        <v>60000</v>
      </c>
      <c r="E30" s="5">
        <f t="shared" si="7"/>
        <v>60000</v>
      </c>
      <c r="F30" s="5">
        <f t="shared" si="7"/>
        <v>90000</v>
      </c>
      <c r="G30" s="5">
        <f t="shared" si="7"/>
        <v>90000</v>
      </c>
      <c r="H30" s="5">
        <f t="shared" si="7"/>
        <v>150000</v>
      </c>
      <c r="I30" s="5">
        <f t="shared" si="7"/>
        <v>180000</v>
      </c>
      <c r="J30" s="5">
        <f t="shared" si="7"/>
        <v>150000</v>
      </c>
      <c r="K30" s="5">
        <f t="shared" si="7"/>
        <v>60000</v>
      </c>
      <c r="L30" s="5">
        <f t="shared" si="7"/>
        <v>60000</v>
      </c>
      <c r="M30" s="5">
        <f t="shared" si="7"/>
        <v>60000</v>
      </c>
      <c r="N30" s="8">
        <f t="shared" si="4"/>
        <v>1050000</v>
      </c>
    </row>
    <row r="31" spans="1:14" x14ac:dyDescent="0.25">
      <c r="A31" s="5" t="s">
        <v>104</v>
      </c>
      <c r="B31" s="5">
        <f>SUMPRODUCT($G$3:$G$10,B15:B22)</f>
        <v>0</v>
      </c>
      <c r="C31" s="5">
        <f t="shared" ref="C31:M31" si="8">SUMPRODUCT($G$3:$G$10,C15:C22)</f>
        <v>0</v>
      </c>
      <c r="D31" s="5">
        <f t="shared" si="8"/>
        <v>0</v>
      </c>
      <c r="E31" s="5">
        <f t="shared" si="8"/>
        <v>0</v>
      </c>
      <c r="F31" s="5">
        <f t="shared" si="8"/>
        <v>250000</v>
      </c>
      <c r="G31" s="5">
        <f t="shared" si="8"/>
        <v>0</v>
      </c>
      <c r="H31" s="5">
        <f t="shared" si="8"/>
        <v>0</v>
      </c>
      <c r="I31" s="5">
        <f t="shared" si="8"/>
        <v>0</v>
      </c>
      <c r="J31" s="5">
        <f t="shared" si="8"/>
        <v>0</v>
      </c>
      <c r="K31" s="5">
        <f t="shared" si="8"/>
        <v>250000</v>
      </c>
      <c r="L31" s="5">
        <f t="shared" si="8"/>
        <v>0</v>
      </c>
      <c r="M31" s="5">
        <f t="shared" si="8"/>
        <v>0</v>
      </c>
      <c r="N31" s="8">
        <f t="shared" si="4"/>
        <v>500000</v>
      </c>
    </row>
    <row r="32" spans="1:14" x14ac:dyDescent="0.25">
      <c r="A32" s="39" t="s">
        <v>28</v>
      </c>
      <c r="B32" s="21">
        <f>B26-SUM(B27:B31)</f>
        <v>1027000</v>
      </c>
      <c r="C32" s="21">
        <f t="shared" ref="C32:M32" si="9">C26-SUM(C27:C31)</f>
        <v>1177000</v>
      </c>
      <c r="D32" s="21">
        <f t="shared" si="9"/>
        <v>1067000</v>
      </c>
      <c r="E32" s="21">
        <f t="shared" si="9"/>
        <v>917000</v>
      </c>
      <c r="F32" s="21">
        <f t="shared" si="9"/>
        <v>2270500</v>
      </c>
      <c r="G32" s="21">
        <f t="shared" si="9"/>
        <v>2446000</v>
      </c>
      <c r="H32" s="21">
        <f t="shared" si="9"/>
        <v>3767000</v>
      </c>
      <c r="I32" s="21">
        <f t="shared" si="9"/>
        <v>4675000</v>
      </c>
      <c r="J32" s="21">
        <f t="shared" si="9"/>
        <v>3852000</v>
      </c>
      <c r="K32" s="21">
        <f t="shared" si="9"/>
        <v>1976000</v>
      </c>
      <c r="L32" s="21">
        <f t="shared" si="9"/>
        <v>917000</v>
      </c>
      <c r="M32" s="21">
        <f t="shared" si="9"/>
        <v>917000</v>
      </c>
      <c r="N32" s="8">
        <f t="shared" si="4"/>
        <v>25008500</v>
      </c>
    </row>
    <row r="33" spans="1:13" x14ac:dyDescent="0.25">
      <c r="A33" s="54" t="s">
        <v>52</v>
      </c>
      <c r="B33" s="55">
        <f>IFERROR(B32/B26,0)</f>
        <v>0.66258064516129034</v>
      </c>
      <c r="C33" s="55">
        <f t="shared" ref="C33:M33" si="10">IFERROR(C32/C26,0)</f>
        <v>0.6725714285714286</v>
      </c>
      <c r="D33" s="55">
        <f t="shared" si="10"/>
        <v>0.64666666666666661</v>
      </c>
      <c r="E33" s="55">
        <f t="shared" si="10"/>
        <v>0.63241379310344825</v>
      </c>
      <c r="F33" s="55">
        <f t="shared" si="10"/>
        <v>0.57119496855345908</v>
      </c>
      <c r="G33" s="55">
        <f t="shared" si="10"/>
        <v>0.68419580419580417</v>
      </c>
      <c r="H33" s="55">
        <f t="shared" si="10"/>
        <v>0.67873873873873869</v>
      </c>
      <c r="I33" s="55">
        <f t="shared" si="10"/>
        <v>0.68</v>
      </c>
      <c r="J33" s="55">
        <f t="shared" si="10"/>
        <v>0.67283842794759829</v>
      </c>
      <c r="K33" s="55">
        <f t="shared" si="10"/>
        <v>0.56056737588652483</v>
      </c>
      <c r="L33" s="55">
        <f t="shared" si="10"/>
        <v>0.63241379310344825</v>
      </c>
      <c r="M33" s="55">
        <f t="shared" si="10"/>
        <v>0.63241379310344825</v>
      </c>
    </row>
    <row r="34" spans="1:13" x14ac:dyDescent="0.25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 x14ac:dyDescent="0.25">
      <c r="A35" s="49" t="s">
        <v>69</v>
      </c>
    </row>
    <row r="36" spans="1:13" x14ac:dyDescent="0.25">
      <c r="A36" s="1" t="s">
        <v>43</v>
      </c>
    </row>
    <row r="37" spans="1:13" x14ac:dyDescent="0.25">
      <c r="A37" s="5" t="s">
        <v>35</v>
      </c>
      <c r="B37" s="4">
        <f>5*50000</f>
        <v>250000</v>
      </c>
    </row>
    <row r="38" spans="1:13" x14ac:dyDescent="0.25">
      <c r="A38" s="5" t="s">
        <v>34</v>
      </c>
      <c r="B38" s="4">
        <v>200000</v>
      </c>
    </row>
    <row r="39" spans="1:13" x14ac:dyDescent="0.25">
      <c r="A39" s="5" t="s">
        <v>36</v>
      </c>
      <c r="B39" s="4">
        <v>240000</v>
      </c>
    </row>
    <row r="40" spans="1:13" x14ac:dyDescent="0.25">
      <c r="B40" s="8">
        <f>SUM(B37:B39)</f>
        <v>690000</v>
      </c>
    </row>
    <row r="42" spans="1:13" x14ac:dyDescent="0.25">
      <c r="A42" s="67" t="s">
        <v>92</v>
      </c>
    </row>
  </sheetData>
  <phoneticPr fontId="8" type="noConversion"/>
  <hyperlinks>
    <hyperlink ref="A42" location="Оглавление!A1" display="Возврат к оглавлению" xr:uid="{E529912A-C399-46EB-8ECE-F4480DD45CA6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C78D-1BB0-436C-90A7-CD5132EAA96E}">
  <sheetPr codeName="Лист10">
    <tabColor theme="9"/>
  </sheetPr>
  <dimension ref="A1:N47"/>
  <sheetViews>
    <sheetView showGridLines="0" tabSelected="1" zoomScale="160" zoomScaleNormal="160" workbookViewId="0">
      <selection activeCell="A14" sqref="A14"/>
    </sheetView>
  </sheetViews>
  <sheetFormatPr defaultColWidth="9.140625" defaultRowHeight="15" x14ac:dyDescent="0.25"/>
  <cols>
    <col min="1" max="1" width="61.7109375" style="2" bestFit="1" customWidth="1"/>
    <col min="2" max="2" width="17.7109375" style="2" bestFit="1" customWidth="1"/>
    <col min="3" max="3" width="14" style="2" bestFit="1" customWidth="1"/>
    <col min="4" max="4" width="20.85546875" style="2" bestFit="1" customWidth="1"/>
    <col min="5" max="5" width="20.7109375" style="2" customWidth="1"/>
    <col min="6" max="6" width="12.7109375" style="2" bestFit="1" customWidth="1"/>
    <col min="7" max="7" width="11.42578125" style="2" bestFit="1" customWidth="1"/>
    <col min="8" max="8" width="14.28515625" style="2" bestFit="1" customWidth="1"/>
    <col min="9" max="9" width="11.42578125" style="2" bestFit="1" customWidth="1"/>
    <col min="10" max="10" width="21.5703125" style="2" customWidth="1"/>
    <col min="11" max="16384" width="9.140625" style="2"/>
  </cols>
  <sheetData>
    <row r="1" spans="1:14" x14ac:dyDescent="0.25">
      <c r="A1" s="2" t="s">
        <v>23</v>
      </c>
      <c r="B1" s="15">
        <f>Инвестиции</f>
        <v>7556.35</v>
      </c>
      <c r="C1" s="9">
        <v>1</v>
      </c>
      <c r="D1" s="4">
        <f>B1*C1</f>
        <v>7556.35</v>
      </c>
    </row>
    <row r="2" spans="1:14" x14ac:dyDescent="0.25">
      <c r="B2" s="5" t="s">
        <v>1</v>
      </c>
      <c r="C2" s="5" t="s">
        <v>70</v>
      </c>
      <c r="D2" s="5" t="s">
        <v>2</v>
      </c>
    </row>
    <row r="5" spans="1:14" x14ac:dyDescent="0.25">
      <c r="A5" s="49" t="s">
        <v>71</v>
      </c>
    </row>
    <row r="6" spans="1:14" x14ac:dyDescent="0.25">
      <c r="A6" s="5" t="s">
        <v>24</v>
      </c>
      <c r="B6" s="5">
        <v>0</v>
      </c>
      <c r="C6" s="5">
        <v>1</v>
      </c>
      <c r="D6" s="5">
        <v>2</v>
      </c>
      <c r="E6" s="5">
        <v>3</v>
      </c>
      <c r="F6" s="5">
        <v>4</v>
      </c>
      <c r="G6" s="5" t="s">
        <v>3</v>
      </c>
      <c r="H6" s="5" t="s">
        <v>70</v>
      </c>
    </row>
    <row r="7" spans="1:14" x14ac:dyDescent="0.25">
      <c r="A7" s="61" t="s">
        <v>73</v>
      </c>
      <c r="B7" s="62">
        <f>'План доходов и расходов'!N26/1000*H7</f>
        <v>23115</v>
      </c>
      <c r="C7" s="42">
        <f>B7*H7</f>
        <v>13869</v>
      </c>
      <c r="D7" s="42">
        <f>C7*(1+$G$7)</f>
        <v>14562.45</v>
      </c>
      <c r="E7" s="42">
        <f>D7*(1+$G$7)</f>
        <v>15290.572500000002</v>
      </c>
      <c r="F7" s="42">
        <f>E7*(1+$G$7)</f>
        <v>16055.101125000003</v>
      </c>
      <c r="G7" s="45">
        <v>0.05</v>
      </c>
      <c r="H7" s="45">
        <v>0.6</v>
      </c>
    </row>
    <row r="8" spans="1:14" x14ac:dyDescent="0.25">
      <c r="A8" s="61" t="s">
        <v>75</v>
      </c>
      <c r="B8" s="62"/>
      <c r="C8" s="42">
        <f>SUM(C9:C13)</f>
        <v>7482.9</v>
      </c>
      <c r="D8" s="42">
        <f t="shared" ref="D8:F8" si="0">SUM(D9:D13)</f>
        <v>8006.7030000000004</v>
      </c>
      <c r="E8" s="42">
        <f t="shared" si="0"/>
        <v>8567.1722100000006</v>
      </c>
      <c r="F8" s="42">
        <f t="shared" si="0"/>
        <v>9166.8742647000017</v>
      </c>
      <c r="G8" s="45"/>
      <c r="H8" s="45"/>
    </row>
    <row r="9" spans="1:14" ht="31.5" x14ac:dyDescent="0.25">
      <c r="A9" s="63" t="s">
        <v>74</v>
      </c>
      <c r="B9" s="15">
        <f>'План доходов и расходов'!N27/1000*H9</f>
        <v>5656.5</v>
      </c>
      <c r="C9" s="4">
        <f>B9*H9</f>
        <v>3393.9</v>
      </c>
      <c r="D9" s="4">
        <f>C9*(1+$G$9)</f>
        <v>3631.4730000000004</v>
      </c>
      <c r="E9" s="4">
        <f>D9*(1+$G$9)</f>
        <v>3885.6761100000008</v>
      </c>
      <c r="F9" s="4">
        <f>E9*(1+$G$9)</f>
        <v>4157.6734377000012</v>
      </c>
      <c r="G9" s="9">
        <v>7.0000000000000007E-2</v>
      </c>
      <c r="H9" s="9">
        <f>H7</f>
        <v>0.6</v>
      </c>
      <c r="J9" s="28"/>
      <c r="K9" s="28"/>
      <c r="N9" s="37">
        <v>1</v>
      </c>
    </row>
    <row r="10" spans="1:14" x14ac:dyDescent="0.25">
      <c r="A10" s="44" t="str">
        <f>'План доходов и расходов'!D2</f>
        <v>Материальные затраты</v>
      </c>
      <c r="B10" s="15">
        <f>'План доходов и расходов'!N28/1000*H10</f>
        <v>2249</v>
      </c>
      <c r="C10" s="4">
        <f>B10*H10</f>
        <v>2249</v>
      </c>
      <c r="D10" s="4">
        <f>C10*(1+$G$9)</f>
        <v>2406.4300000000003</v>
      </c>
      <c r="E10" s="4">
        <f t="shared" ref="E10:F10" si="1">D10*(1+$G$9)</f>
        <v>2574.8801000000003</v>
      </c>
      <c r="F10" s="4">
        <f t="shared" si="1"/>
        <v>2755.1217070000007</v>
      </c>
      <c r="G10" s="9">
        <v>0.1</v>
      </c>
      <c r="H10" s="9">
        <v>1</v>
      </c>
      <c r="J10" s="28"/>
      <c r="K10" s="28"/>
      <c r="N10" s="37"/>
    </row>
    <row r="11" spans="1:14" x14ac:dyDescent="0.25">
      <c r="A11" s="44" t="str">
        <f>'План доходов и расходов'!E2</f>
        <v>Аренда сервера</v>
      </c>
      <c r="B11" s="15">
        <f>'План доходов и расходов'!N29/1000*H11</f>
        <v>290</v>
      </c>
      <c r="C11" s="4">
        <f t="shared" ref="C11:C13" si="2">B11*H11</f>
        <v>290</v>
      </c>
      <c r="D11" s="4">
        <f t="shared" ref="D11:F13" si="3">C11*(1+$G$9)</f>
        <v>310.3</v>
      </c>
      <c r="E11" s="4">
        <f t="shared" si="3"/>
        <v>332.02100000000002</v>
      </c>
      <c r="F11" s="4">
        <f t="shared" si="3"/>
        <v>355.26247000000006</v>
      </c>
      <c r="G11" s="9">
        <v>0.1</v>
      </c>
      <c r="H11" s="9">
        <v>1</v>
      </c>
      <c r="J11" s="28"/>
      <c r="K11" s="28"/>
      <c r="N11" s="37"/>
    </row>
    <row r="12" spans="1:14" x14ac:dyDescent="0.25">
      <c r="A12" s="44" t="s">
        <v>33</v>
      </c>
      <c r="B12" s="15">
        <f>'План доходов и расходов'!N30/1000*H12</f>
        <v>1050</v>
      </c>
      <c r="C12" s="4">
        <f t="shared" si="2"/>
        <v>1050</v>
      </c>
      <c r="D12" s="4">
        <f t="shared" si="3"/>
        <v>1123.5</v>
      </c>
      <c r="E12" s="4">
        <f t="shared" si="3"/>
        <v>1202.145</v>
      </c>
      <c r="F12" s="4">
        <f t="shared" si="3"/>
        <v>1286.2951500000001</v>
      </c>
      <c r="G12" s="9">
        <v>0.05</v>
      </c>
      <c r="H12" s="9">
        <v>1</v>
      </c>
      <c r="J12" s="28"/>
      <c r="K12" s="28"/>
      <c r="N12" s="37"/>
    </row>
    <row r="13" spans="1:14" x14ac:dyDescent="0.25">
      <c r="A13" s="44" t="str">
        <f>'План доходов и расходов'!G2</f>
        <v xml:space="preserve"> Роялти</v>
      </c>
      <c r="B13" s="15">
        <f>'План доходов и расходов'!N31/1000*H13</f>
        <v>500</v>
      </c>
      <c r="C13" s="4">
        <f t="shared" si="2"/>
        <v>500</v>
      </c>
      <c r="D13" s="4">
        <f t="shared" si="3"/>
        <v>535</v>
      </c>
      <c r="E13" s="4">
        <f t="shared" si="3"/>
        <v>572.45000000000005</v>
      </c>
      <c r="F13" s="4">
        <f t="shared" si="3"/>
        <v>612.52150000000006</v>
      </c>
      <c r="G13" s="9">
        <v>0.05</v>
      </c>
      <c r="H13" s="9">
        <v>1</v>
      </c>
      <c r="J13" s="28"/>
      <c r="K13" s="28"/>
      <c r="N13" s="37"/>
    </row>
    <row r="14" spans="1:14" ht="15.75" x14ac:dyDescent="0.25">
      <c r="A14" s="19" t="s">
        <v>28</v>
      </c>
      <c r="B14" s="17"/>
      <c r="C14" s="21">
        <f>C7-C8</f>
        <v>6386.1</v>
      </c>
      <c r="D14" s="21">
        <f t="shared" ref="D14:F14" si="4">D7-D8</f>
        <v>6555.7470000000003</v>
      </c>
      <c r="E14" s="21">
        <f t="shared" si="4"/>
        <v>6723.4002900000014</v>
      </c>
      <c r="F14" s="21">
        <f t="shared" si="4"/>
        <v>6888.2268603000011</v>
      </c>
      <c r="G14" s="22"/>
      <c r="H14" s="22"/>
    </row>
    <row r="15" spans="1:14" x14ac:dyDescent="0.25">
      <c r="A15" s="16" t="s">
        <v>76</v>
      </c>
      <c r="B15" s="35">
        <f>'План доходов и расходов'!B40/1000*H15</f>
        <v>690</v>
      </c>
      <c r="C15" s="4">
        <f>B15</f>
        <v>690</v>
      </c>
      <c r="D15" s="4">
        <f>C15*(1+$G$15)</f>
        <v>759.00000000000011</v>
      </c>
      <c r="E15" s="4">
        <f>D15*(1+$G$15)</f>
        <v>834.9000000000002</v>
      </c>
      <c r="F15" s="4">
        <f>E15*(1+$G$15)</f>
        <v>918.39000000000033</v>
      </c>
      <c r="G15" s="9">
        <v>0.1</v>
      </c>
      <c r="H15" s="9">
        <v>1</v>
      </c>
    </row>
    <row r="16" spans="1:14" ht="15.75" x14ac:dyDescent="0.25">
      <c r="A16" s="19" t="s">
        <v>4</v>
      </c>
      <c r="B16" s="20"/>
      <c r="C16" s="21">
        <f>C14-C15</f>
        <v>5696.1</v>
      </c>
      <c r="D16" s="21">
        <f t="shared" ref="D16:F16" si="5">D14-D15</f>
        <v>5796.7470000000003</v>
      </c>
      <c r="E16" s="21">
        <f t="shared" si="5"/>
        <v>5888.5002900000009</v>
      </c>
      <c r="F16" s="21">
        <f t="shared" si="5"/>
        <v>5969.8368603000008</v>
      </c>
      <c r="G16" s="22"/>
      <c r="H16" s="22"/>
    </row>
    <row r="17" spans="1:8" x14ac:dyDescent="0.25">
      <c r="A17" s="16" t="s">
        <v>85</v>
      </c>
      <c r="B17" s="17"/>
      <c r="C17" s="23">
        <f>'Кредитный расчет'!J3*H17+'Кредитный расчет'!J8*3</f>
        <v>468.39291416855212</v>
      </c>
      <c r="D17" s="23">
        <f>'Кредитный расчет'!K3*H17</f>
        <v>226.29026855990372</v>
      </c>
      <c r="E17" s="23">
        <f>'Кредитный расчет'!L3*H17</f>
        <v>82.546731286124285</v>
      </c>
      <c r="F17" s="23">
        <f>'Кредитный расчет'!M3*H17</f>
        <v>0</v>
      </c>
      <c r="G17" s="5"/>
      <c r="H17" s="41">
        <v>1</v>
      </c>
    </row>
    <row r="18" spans="1:8" x14ac:dyDescent="0.25">
      <c r="A18" s="16" t="s">
        <v>77</v>
      </c>
      <c r="B18" s="18">
        <v>0.08</v>
      </c>
      <c r="C18" s="4">
        <f>$B$18*C7</f>
        <v>1109.52</v>
      </c>
      <c r="D18" s="4">
        <f t="shared" ref="D18:F18" si="6">$B$18*D7</f>
        <v>1164.9960000000001</v>
      </c>
      <c r="E18" s="4">
        <f t="shared" si="6"/>
        <v>1223.2458000000001</v>
      </c>
      <c r="F18" s="4">
        <f t="shared" si="6"/>
        <v>1284.4080900000004</v>
      </c>
      <c r="G18" s="9"/>
      <c r="H18" s="9">
        <v>1</v>
      </c>
    </row>
    <row r="19" spans="1:8" ht="15.75" x14ac:dyDescent="0.25">
      <c r="A19" s="19" t="s">
        <v>5</v>
      </c>
      <c r="B19" s="20"/>
      <c r="C19" s="8">
        <f>C16-C17-C18</f>
        <v>4118.1870858314487</v>
      </c>
      <c r="D19" s="8">
        <f t="shared" ref="D19:F19" si="7">D16-D17-D18</f>
        <v>4405.4607314400964</v>
      </c>
      <c r="E19" s="8">
        <f t="shared" si="7"/>
        <v>4582.7077587138756</v>
      </c>
      <c r="F19" s="8">
        <f t="shared" si="7"/>
        <v>4685.4287703000009</v>
      </c>
      <c r="G19" s="22"/>
      <c r="H19" s="22"/>
    </row>
    <row r="20" spans="1:8" ht="31.5" x14ac:dyDescent="0.25">
      <c r="A20" s="60" t="s">
        <v>87</v>
      </c>
      <c r="B20" s="20"/>
      <c r="C20" s="23">
        <f>'Кредитный расчет'!J5</f>
        <v>1494.1556405029753</v>
      </c>
      <c r="D20" s="23">
        <f>'Кредитный расчет'!K5</f>
        <v>1626.2254111116233</v>
      </c>
      <c r="E20" s="23">
        <f>'Кредитный расчет'!L5</f>
        <v>1769.9689483854031</v>
      </c>
      <c r="F20" s="23">
        <f>'Кредитный расчет'!M5</f>
        <v>0</v>
      </c>
    </row>
    <row r="21" spans="1:8" x14ac:dyDescent="0.25">
      <c r="A21" s="5" t="s">
        <v>78</v>
      </c>
      <c r="B21" s="5"/>
      <c r="C21" s="4">
        <f>C19-C20</f>
        <v>2624.0314453284736</v>
      </c>
      <c r="D21" s="4">
        <f t="shared" ref="D21:F21" si="8">D19-D20</f>
        <v>2779.2353203284729</v>
      </c>
      <c r="E21" s="4">
        <f t="shared" si="8"/>
        <v>2812.7388103284725</v>
      </c>
      <c r="F21" s="4">
        <f t="shared" si="8"/>
        <v>4685.4287703000009</v>
      </c>
    </row>
    <row r="22" spans="1:8" x14ac:dyDescent="0.25">
      <c r="A22" s="58" t="s">
        <v>6</v>
      </c>
      <c r="B22" s="59">
        <v>0.2</v>
      </c>
    </row>
    <row r="24" spans="1:8" x14ac:dyDescent="0.25">
      <c r="A24" s="49" t="s">
        <v>79</v>
      </c>
      <c r="B24" s="5">
        <v>0</v>
      </c>
      <c r="C24" s="5">
        <v>1</v>
      </c>
      <c r="D24" s="5">
        <v>2</v>
      </c>
      <c r="E24" s="5">
        <v>3</v>
      </c>
      <c r="F24" s="5">
        <v>4</v>
      </c>
      <c r="G24" s="5" t="s">
        <v>0</v>
      </c>
    </row>
    <row r="25" spans="1:8" x14ac:dyDescent="0.25">
      <c r="A25" s="5" t="s">
        <v>7</v>
      </c>
      <c r="B25" s="7">
        <f>-D1</f>
        <v>-7556.35</v>
      </c>
      <c r="C25" s="7">
        <f>C19</f>
        <v>4118.1870858314487</v>
      </c>
      <c r="D25" s="7">
        <f t="shared" ref="D25:F25" si="9">D19</f>
        <v>4405.4607314400964</v>
      </c>
      <c r="E25" s="7">
        <f t="shared" si="9"/>
        <v>4582.7077587138756</v>
      </c>
      <c r="F25" s="7">
        <f t="shared" si="9"/>
        <v>4685.4287703000009</v>
      </c>
      <c r="G25" s="24">
        <f>SUM(B25:F25)</f>
        <v>10235.434346285421</v>
      </c>
    </row>
    <row r="26" spans="1:8" x14ac:dyDescent="0.25">
      <c r="A26" s="5" t="s">
        <v>8</v>
      </c>
      <c r="B26" s="7">
        <f>B25/(1+$B$22)^B24</f>
        <v>-7556.35</v>
      </c>
      <c r="C26" s="24">
        <f>C25/(1+$B$22)^C24</f>
        <v>3431.8225715262074</v>
      </c>
      <c r="D26" s="24">
        <f t="shared" ref="D26:F26" si="10">D25/(1+$B$22)^D24</f>
        <v>3059.3477301667335</v>
      </c>
      <c r="E26" s="24">
        <f t="shared" si="10"/>
        <v>2652.0299529594186</v>
      </c>
      <c r="F26" s="24">
        <f t="shared" si="10"/>
        <v>2259.5624856770837</v>
      </c>
    </row>
    <row r="27" spans="1:8" x14ac:dyDescent="0.25">
      <c r="A27" s="5" t="s">
        <v>81</v>
      </c>
      <c r="B27" s="25">
        <f>SUM(B26:F26)</f>
        <v>3846.4127403294424</v>
      </c>
    </row>
    <row r="28" spans="1:8" x14ac:dyDescent="0.25">
      <c r="A28" s="5" t="s">
        <v>82</v>
      </c>
      <c r="B28" s="26">
        <f>SUM(C26:F26)/-B25</f>
        <v>1.5090305160996305</v>
      </c>
    </row>
    <row r="29" spans="1:8" x14ac:dyDescent="0.25">
      <c r="A29" s="5" t="s">
        <v>29</v>
      </c>
      <c r="B29" s="27">
        <f>IRR(B25:F25)</f>
        <v>0.44472935288819837</v>
      </c>
    </row>
    <row r="31" spans="1:8" x14ac:dyDescent="0.25">
      <c r="A31" s="49" t="s">
        <v>80</v>
      </c>
      <c r="B31" s="5">
        <f>B24</f>
        <v>0</v>
      </c>
      <c r="C31" s="5">
        <f>C24</f>
        <v>1</v>
      </c>
      <c r="D31" s="5">
        <f>D24</f>
        <v>2</v>
      </c>
      <c r="E31" s="5">
        <f>E24</f>
        <v>3</v>
      </c>
      <c r="F31" s="5">
        <f t="shared" ref="F31" si="11">F24</f>
        <v>4</v>
      </c>
    </row>
    <row r="32" spans="1:8" x14ac:dyDescent="0.25">
      <c r="A32" s="16" t="s">
        <v>9</v>
      </c>
      <c r="B32" s="29">
        <f>B25</f>
        <v>-7556.35</v>
      </c>
      <c r="C32" s="29">
        <f t="shared" ref="C32:E33" si="12">B32+C25</f>
        <v>-3438.1629141685517</v>
      </c>
      <c r="D32" s="29">
        <f t="shared" si="12"/>
        <v>967.29781727154477</v>
      </c>
      <c r="E32" s="29">
        <f t="shared" si="12"/>
        <v>5550.0055759854204</v>
      </c>
      <c r="F32" s="29">
        <f t="shared" ref="F32:F33" si="13">E32+F25</f>
        <v>10235.434346285421</v>
      </c>
    </row>
    <row r="33" spans="1:6" x14ac:dyDescent="0.25">
      <c r="A33" s="16" t="s">
        <v>10</v>
      </c>
      <c r="B33" s="29">
        <f>B26</f>
        <v>-7556.35</v>
      </c>
      <c r="C33" s="29">
        <f t="shared" si="12"/>
        <v>-4124.5274284737934</v>
      </c>
      <c r="D33" s="29">
        <f t="shared" si="12"/>
        <v>-1065.1796983070599</v>
      </c>
      <c r="E33" s="29">
        <f t="shared" si="12"/>
        <v>1586.8502546523587</v>
      </c>
      <c r="F33" s="29">
        <f t="shared" si="13"/>
        <v>3846.4127403294424</v>
      </c>
    </row>
    <row r="34" spans="1:6" hidden="1" x14ac:dyDescent="0.25">
      <c r="B34" s="30"/>
      <c r="C34" s="33">
        <f>IF(AND(B32&lt;0,C32&gt;0),B31,0)</f>
        <v>0</v>
      </c>
      <c r="D34" s="33">
        <f>IF(AND(C32&lt;0,D32&gt;0),C31,0)</f>
        <v>1</v>
      </c>
      <c r="E34" s="33">
        <f>IF(AND(D32&lt;0,E32&gt;0),D31,0)</f>
        <v>0</v>
      </c>
      <c r="F34" s="33">
        <f>IF(AND(E32&lt;0,F32&gt;0),E31,0)</f>
        <v>0</v>
      </c>
    </row>
    <row r="35" spans="1:6" hidden="1" x14ac:dyDescent="0.25">
      <c r="B35" s="30"/>
      <c r="C35" s="33">
        <f t="shared" ref="C35:F35" si="14">IF(AND(B33&lt;0,C33&gt;0),B31,0)</f>
        <v>0</v>
      </c>
      <c r="D35" s="33">
        <f t="shared" si="14"/>
        <v>0</v>
      </c>
      <c r="E35" s="33">
        <f t="shared" si="14"/>
        <v>2</v>
      </c>
      <c r="F35" s="33">
        <f t="shared" si="14"/>
        <v>0</v>
      </c>
    </row>
    <row r="36" spans="1:6" hidden="1" x14ac:dyDescent="0.25">
      <c r="B36" s="30"/>
      <c r="C36" s="33">
        <f t="shared" ref="C36:E37" si="15">IF(C34&gt;0,ABS(B32)/C25+C34,0)</f>
        <v>0</v>
      </c>
      <c r="D36" s="33">
        <f t="shared" si="15"/>
        <v>1.7804320873028538</v>
      </c>
      <c r="E36" s="33">
        <f t="shared" si="15"/>
        <v>0</v>
      </c>
      <c r="F36" s="33">
        <f>IF(F34&gt;0,ABS(E32)/F25+F34,0)</f>
        <v>0</v>
      </c>
    </row>
    <row r="37" spans="1:6" hidden="1" x14ac:dyDescent="0.25">
      <c r="B37" s="30"/>
      <c r="C37" s="33">
        <f t="shared" si="15"/>
        <v>0</v>
      </c>
      <c r="D37" s="33">
        <f t="shared" si="15"/>
        <v>0</v>
      </c>
      <c r="E37" s="33">
        <f t="shared" si="15"/>
        <v>2.4016469335568473</v>
      </c>
      <c r="F37" s="33">
        <f>IF(F35&gt;0,ABS(E33)/F26+F35,0)</f>
        <v>0</v>
      </c>
    </row>
    <row r="38" spans="1:6" x14ac:dyDescent="0.25">
      <c r="A38" s="5" t="s">
        <v>11</v>
      </c>
      <c r="B38" s="31">
        <f>MAX(C36:F36)</f>
        <v>1.7804320873028538</v>
      </c>
      <c r="C38" s="30" t="s">
        <v>26</v>
      </c>
      <c r="D38" s="30"/>
      <c r="E38" s="30"/>
      <c r="F38" s="30"/>
    </row>
    <row r="39" spans="1:6" x14ac:dyDescent="0.25">
      <c r="A39" s="5" t="s">
        <v>12</v>
      </c>
      <c r="B39" s="32">
        <f>MAX(C37:F37)</f>
        <v>2.4016469335568473</v>
      </c>
      <c r="C39" s="30" t="s">
        <v>26</v>
      </c>
      <c r="D39" s="30"/>
      <c r="E39" s="30"/>
      <c r="F39" s="30"/>
    </row>
    <row r="41" spans="1:6" x14ac:dyDescent="0.25">
      <c r="A41" s="49" t="s">
        <v>90</v>
      </c>
    </row>
    <row r="42" spans="1:6" ht="30.75" customHeight="1" x14ac:dyDescent="0.25">
      <c r="A42" s="5" t="s">
        <v>73</v>
      </c>
      <c r="B42" s="9">
        <v>0.55000000000000004</v>
      </c>
    </row>
    <row r="43" spans="1:6" x14ac:dyDescent="0.25">
      <c r="A43" s="5" t="s">
        <v>89</v>
      </c>
      <c r="B43" s="9">
        <v>0.2</v>
      </c>
    </row>
    <row r="44" spans="1:6" x14ac:dyDescent="0.25">
      <c r="A44" s="5" t="s">
        <v>33</v>
      </c>
      <c r="B44" s="9">
        <v>1.51</v>
      </c>
    </row>
    <row r="45" spans="1:6" ht="15" customHeight="1" x14ac:dyDescent="0.25">
      <c r="A45" s="5" t="s">
        <v>76</v>
      </c>
      <c r="B45" s="9">
        <v>2.9</v>
      </c>
    </row>
    <row r="47" spans="1:6" x14ac:dyDescent="0.25">
      <c r="A47" s="67" t="s">
        <v>92</v>
      </c>
    </row>
  </sheetData>
  <conditionalFormatting sqref="H7:H18">
    <cfRule type="cellIs" dxfId="0" priority="7" operator="notEqual">
      <formula>1</formula>
    </cfRule>
  </conditionalFormatting>
  <hyperlinks>
    <hyperlink ref="A47" location="Оглавление!A1" display="Возврат к оглавлению" xr:uid="{82D4F16A-183F-49B8-BB83-4236EFD028CD}"/>
  </hyperlink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4104" r:id="rId3" name="ScrollBar1">
          <controlPr defaultSize="0" autoLine="0" linkedCell="#REF!" r:id="rId4">
            <anchor moveWithCells="1">
              <from>
                <xdr:col>5</xdr:col>
                <xdr:colOff>85725</xdr:colOff>
                <xdr:row>77</xdr:row>
                <xdr:rowOff>0</xdr:rowOff>
              </from>
              <to>
                <xdr:col>14</xdr:col>
                <xdr:colOff>495300</xdr:colOff>
                <xdr:row>78</xdr:row>
                <xdr:rowOff>142875</xdr:rowOff>
              </to>
            </anchor>
          </controlPr>
        </control>
      </mc:Choice>
      <mc:Fallback>
        <control shapeId="4104" r:id="rId3" name="ScrollBar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Оглавление</vt:lpstr>
      <vt:lpstr>Инвестиции</vt:lpstr>
      <vt:lpstr>Кредитный расчет</vt:lpstr>
      <vt:lpstr>План доходов и расходов</vt:lpstr>
      <vt:lpstr>Финансовая модель</vt:lpstr>
      <vt:lpstr>Инвестиции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Кривелевич Максим Евсеевич</cp:lastModifiedBy>
  <dcterms:created xsi:type="dcterms:W3CDTF">2021-01-07T22:12:59Z</dcterms:created>
  <dcterms:modified xsi:type="dcterms:W3CDTF">2025-11-23T01:53:10Z</dcterms:modified>
</cp:coreProperties>
</file>