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Фин курс\"/>
    </mc:Choice>
  </mc:AlternateContent>
  <xr:revisionPtr revIDLastSave="0" documentId="8_{01EB3AE0-4D30-4A3A-8C29-0C2CE2259A1B}" xr6:coauthVersionLast="37" xr6:coauthVersionMax="37" xr10:uidLastSave="{00000000-0000-0000-0000-000000000000}"/>
  <bookViews>
    <workbookView xWindow="0" yWindow="0" windowWidth="23040" windowHeight="8940" xr2:uid="{00000000-000D-0000-FFFF-FFFF00000000}"/>
  </bookViews>
  <sheets>
    <sheet name="ЛФП" sheetId="1" r:id="rId1"/>
  </sheets>
  <calcPr calcId="179021"/>
</workbook>
</file>

<file path=xl/calcChain.xml><?xml version="1.0" encoding="utf-8"?>
<calcChain xmlns="http://schemas.openxmlformats.org/spreadsheetml/2006/main">
  <c r="O99" i="1" l="1"/>
  <c r="K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P99" i="1" l="1"/>
  <c r="N99" i="1"/>
  <c r="M99" i="1"/>
  <c r="L99" i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I6" i="1"/>
  <c r="H6" i="1"/>
  <c r="G6" i="1"/>
  <c r="F6" i="1"/>
  <c r="E6" i="1"/>
  <c r="C6" i="1"/>
  <c r="D6" i="1" s="1"/>
  <c r="C7" i="1" s="1"/>
  <c r="D7" i="1" s="1"/>
  <c r="K100" i="1" l="1"/>
  <c r="C8" i="1"/>
  <c r="D8" i="1" s="1"/>
  <c r="I7" i="1"/>
  <c r="G7" i="1"/>
  <c r="E7" i="1"/>
  <c r="H7" i="1"/>
  <c r="F7" i="1"/>
  <c r="C9" i="1" l="1"/>
  <c r="D9" i="1" s="1"/>
  <c r="I8" i="1"/>
  <c r="G8" i="1"/>
  <c r="E8" i="1"/>
  <c r="H8" i="1"/>
  <c r="F8" i="1"/>
  <c r="C10" i="1" l="1"/>
  <c r="D10" i="1" s="1"/>
  <c r="I9" i="1"/>
  <c r="G9" i="1"/>
  <c r="E9" i="1"/>
  <c r="H9" i="1"/>
  <c r="F9" i="1"/>
  <c r="C11" i="1" l="1"/>
  <c r="D11" i="1" s="1"/>
  <c r="I10" i="1"/>
  <c r="G10" i="1"/>
  <c r="E10" i="1"/>
  <c r="H10" i="1"/>
  <c r="F10" i="1"/>
  <c r="C12" i="1" l="1"/>
  <c r="D12" i="1" s="1"/>
  <c r="I11" i="1"/>
  <c r="G11" i="1"/>
  <c r="E11" i="1"/>
  <c r="H11" i="1"/>
  <c r="F11" i="1"/>
  <c r="C13" i="1" l="1"/>
  <c r="D13" i="1" s="1"/>
  <c r="I12" i="1"/>
  <c r="G12" i="1"/>
  <c r="E12" i="1"/>
  <c r="H12" i="1"/>
  <c r="F12" i="1"/>
  <c r="C14" i="1" l="1"/>
  <c r="D14" i="1" s="1"/>
  <c r="I13" i="1"/>
  <c r="G13" i="1"/>
  <c r="E13" i="1"/>
  <c r="H13" i="1"/>
  <c r="F13" i="1"/>
  <c r="C15" i="1" l="1"/>
  <c r="D15" i="1" s="1"/>
  <c r="I14" i="1"/>
  <c r="G14" i="1"/>
  <c r="E14" i="1"/>
  <c r="H14" i="1"/>
  <c r="F14" i="1"/>
  <c r="C16" i="1" l="1"/>
  <c r="D16" i="1" s="1"/>
  <c r="I15" i="1"/>
  <c r="G15" i="1"/>
  <c r="E15" i="1"/>
  <c r="H15" i="1"/>
  <c r="F15" i="1"/>
  <c r="C17" i="1" l="1"/>
  <c r="D17" i="1" s="1"/>
  <c r="I16" i="1"/>
  <c r="G16" i="1"/>
  <c r="E16" i="1"/>
  <c r="H16" i="1"/>
  <c r="F16" i="1"/>
  <c r="H17" i="1" l="1"/>
  <c r="C18" i="1"/>
  <c r="D18" i="1" s="1"/>
  <c r="I17" i="1"/>
  <c r="G17" i="1"/>
  <c r="E17" i="1"/>
  <c r="F17" i="1"/>
  <c r="C19" i="1" l="1"/>
  <c r="D19" i="1" s="1"/>
  <c r="I18" i="1"/>
  <c r="G18" i="1"/>
  <c r="E18" i="1"/>
  <c r="H18" i="1"/>
  <c r="F18" i="1"/>
  <c r="H19" i="1" l="1"/>
  <c r="F19" i="1"/>
  <c r="C20" i="1"/>
  <c r="D20" i="1" s="1"/>
  <c r="I19" i="1"/>
  <c r="G19" i="1"/>
  <c r="E19" i="1"/>
  <c r="C21" i="1" l="1"/>
  <c r="D21" i="1" s="1"/>
  <c r="I20" i="1"/>
  <c r="G20" i="1"/>
  <c r="E20" i="1"/>
  <c r="H20" i="1"/>
  <c r="F20" i="1"/>
  <c r="H21" i="1" l="1"/>
  <c r="F21" i="1"/>
  <c r="C22" i="1"/>
  <c r="D22" i="1" s="1"/>
  <c r="I21" i="1"/>
  <c r="G21" i="1"/>
  <c r="E21" i="1"/>
  <c r="F22" i="1" l="1"/>
  <c r="C23" i="1"/>
  <c r="D23" i="1" s="1"/>
  <c r="I22" i="1"/>
  <c r="G22" i="1"/>
  <c r="E22" i="1"/>
  <c r="H22" i="1"/>
  <c r="H23" i="1" l="1"/>
  <c r="F23" i="1"/>
  <c r="C24" i="1"/>
  <c r="D24" i="1" s="1"/>
  <c r="I23" i="1"/>
  <c r="G23" i="1"/>
  <c r="E23" i="1"/>
  <c r="C25" i="1" l="1"/>
  <c r="D25" i="1" s="1"/>
  <c r="I24" i="1"/>
  <c r="G24" i="1"/>
  <c r="E24" i="1"/>
  <c r="H24" i="1"/>
  <c r="F24" i="1"/>
  <c r="F25" i="1" l="1"/>
  <c r="C26" i="1"/>
  <c r="D26" i="1" s="1"/>
  <c r="I25" i="1"/>
  <c r="G25" i="1"/>
  <c r="E25" i="1"/>
  <c r="H25" i="1"/>
  <c r="H26" i="1" l="1"/>
  <c r="F26" i="1"/>
  <c r="C27" i="1"/>
  <c r="D27" i="1" s="1"/>
  <c r="I26" i="1"/>
  <c r="G26" i="1"/>
  <c r="E26" i="1"/>
  <c r="H27" i="1" l="1"/>
  <c r="F27" i="1"/>
  <c r="C28" i="1"/>
  <c r="D28" i="1" s="1"/>
  <c r="I27" i="1"/>
  <c r="G27" i="1"/>
  <c r="E27" i="1"/>
  <c r="H28" i="1" l="1"/>
  <c r="F28" i="1"/>
  <c r="C29" i="1"/>
  <c r="D29" i="1" s="1"/>
  <c r="I28" i="1"/>
  <c r="G28" i="1"/>
  <c r="E28" i="1"/>
  <c r="H29" i="1" l="1"/>
  <c r="F29" i="1"/>
  <c r="C30" i="1"/>
  <c r="D30" i="1" s="1"/>
  <c r="I29" i="1"/>
  <c r="G29" i="1"/>
  <c r="E29" i="1"/>
  <c r="H30" i="1" l="1"/>
  <c r="F30" i="1"/>
  <c r="C31" i="1"/>
  <c r="D31" i="1" s="1"/>
  <c r="I30" i="1"/>
  <c r="G30" i="1"/>
  <c r="E30" i="1"/>
  <c r="H31" i="1" l="1"/>
  <c r="F31" i="1"/>
  <c r="C32" i="1"/>
  <c r="D32" i="1" s="1"/>
  <c r="I31" i="1"/>
  <c r="G31" i="1"/>
  <c r="E31" i="1"/>
  <c r="H32" i="1" l="1"/>
  <c r="F32" i="1"/>
  <c r="C33" i="1"/>
  <c r="D33" i="1" s="1"/>
  <c r="I32" i="1"/>
  <c r="G32" i="1"/>
  <c r="E32" i="1"/>
  <c r="H33" i="1" l="1"/>
  <c r="F33" i="1"/>
  <c r="C34" i="1"/>
  <c r="D34" i="1" s="1"/>
  <c r="I33" i="1"/>
  <c r="G33" i="1"/>
  <c r="E33" i="1"/>
  <c r="H34" i="1" l="1"/>
  <c r="F34" i="1"/>
  <c r="C35" i="1"/>
  <c r="D35" i="1" s="1"/>
  <c r="I34" i="1"/>
  <c r="G34" i="1"/>
  <c r="E34" i="1"/>
  <c r="C36" i="1" l="1"/>
  <c r="D36" i="1" s="1"/>
  <c r="H35" i="1"/>
  <c r="F35" i="1"/>
  <c r="I35" i="1"/>
  <c r="G35" i="1"/>
  <c r="E35" i="1"/>
  <c r="C37" i="1" l="1"/>
  <c r="D37" i="1" s="1"/>
  <c r="I36" i="1"/>
  <c r="G36" i="1"/>
  <c r="E36" i="1"/>
  <c r="F36" i="1"/>
  <c r="H36" i="1"/>
  <c r="C38" i="1" l="1"/>
  <c r="D38" i="1" s="1"/>
  <c r="I37" i="1"/>
  <c r="G37" i="1"/>
  <c r="E37" i="1"/>
  <c r="F37" i="1"/>
  <c r="H37" i="1"/>
  <c r="C39" i="1" l="1"/>
  <c r="D39" i="1" s="1"/>
  <c r="I38" i="1"/>
  <c r="G38" i="1"/>
  <c r="E38" i="1"/>
  <c r="F38" i="1"/>
  <c r="H38" i="1"/>
  <c r="C40" i="1" l="1"/>
  <c r="D40" i="1" s="1"/>
  <c r="I39" i="1"/>
  <c r="G39" i="1"/>
  <c r="E39" i="1"/>
  <c r="F39" i="1"/>
  <c r="H39" i="1"/>
  <c r="C41" i="1" l="1"/>
  <c r="D41" i="1" s="1"/>
  <c r="I40" i="1"/>
  <c r="G40" i="1"/>
  <c r="E40" i="1"/>
  <c r="F40" i="1"/>
  <c r="H40" i="1"/>
  <c r="C42" i="1" l="1"/>
  <c r="D42" i="1" s="1"/>
  <c r="I41" i="1"/>
  <c r="G41" i="1"/>
  <c r="E41" i="1"/>
  <c r="F41" i="1"/>
  <c r="H41" i="1"/>
  <c r="C43" i="1" l="1"/>
  <c r="D43" i="1" s="1"/>
  <c r="I42" i="1"/>
  <c r="G42" i="1"/>
  <c r="E42" i="1"/>
  <c r="F42" i="1"/>
  <c r="H42" i="1"/>
  <c r="C44" i="1" l="1"/>
  <c r="D44" i="1" s="1"/>
  <c r="I43" i="1"/>
  <c r="G43" i="1"/>
  <c r="E43" i="1"/>
  <c r="F43" i="1"/>
  <c r="H43" i="1"/>
  <c r="C45" i="1" l="1"/>
  <c r="D45" i="1" s="1"/>
  <c r="I44" i="1"/>
  <c r="G44" i="1"/>
  <c r="E44" i="1"/>
  <c r="F44" i="1"/>
  <c r="H44" i="1"/>
  <c r="C46" i="1" l="1"/>
  <c r="D46" i="1" s="1"/>
  <c r="I45" i="1"/>
  <c r="G45" i="1"/>
  <c r="E45" i="1"/>
  <c r="F45" i="1"/>
  <c r="H45" i="1"/>
  <c r="C47" i="1" l="1"/>
  <c r="D47" i="1" s="1"/>
  <c r="I46" i="1"/>
  <c r="G46" i="1"/>
  <c r="E46" i="1"/>
  <c r="F46" i="1"/>
  <c r="H46" i="1"/>
  <c r="C48" i="1" l="1"/>
  <c r="D48" i="1" s="1"/>
  <c r="I47" i="1"/>
  <c r="G47" i="1"/>
  <c r="E47" i="1"/>
  <c r="F47" i="1"/>
  <c r="H47" i="1"/>
  <c r="C49" i="1" l="1"/>
  <c r="D49" i="1" s="1"/>
  <c r="I48" i="1"/>
  <c r="G48" i="1"/>
  <c r="E48" i="1"/>
  <c r="F48" i="1"/>
  <c r="H48" i="1"/>
  <c r="C50" i="1" l="1"/>
  <c r="D50" i="1" s="1"/>
  <c r="I49" i="1"/>
  <c r="G49" i="1"/>
  <c r="E49" i="1"/>
  <c r="F49" i="1"/>
  <c r="H49" i="1"/>
  <c r="C51" i="1" l="1"/>
  <c r="D51" i="1" s="1"/>
  <c r="I50" i="1"/>
  <c r="G50" i="1"/>
  <c r="E50" i="1"/>
  <c r="F50" i="1"/>
  <c r="H50" i="1"/>
  <c r="C52" i="1" l="1"/>
  <c r="D52" i="1" s="1"/>
  <c r="I51" i="1"/>
  <c r="G51" i="1"/>
  <c r="E51" i="1"/>
  <c r="F51" i="1"/>
  <c r="H51" i="1"/>
  <c r="C53" i="1" l="1"/>
  <c r="D53" i="1" s="1"/>
  <c r="I52" i="1"/>
  <c r="G52" i="1"/>
  <c r="E52" i="1"/>
  <c r="F52" i="1"/>
  <c r="H52" i="1"/>
  <c r="C54" i="1" l="1"/>
  <c r="D54" i="1" s="1"/>
  <c r="I53" i="1"/>
  <c r="G53" i="1"/>
  <c r="E53" i="1"/>
  <c r="F53" i="1"/>
  <c r="H53" i="1"/>
  <c r="C55" i="1" l="1"/>
  <c r="D55" i="1" s="1"/>
  <c r="I54" i="1"/>
  <c r="G54" i="1"/>
  <c r="E54" i="1"/>
  <c r="F54" i="1"/>
  <c r="H54" i="1"/>
  <c r="C56" i="1" l="1"/>
  <c r="D56" i="1" s="1"/>
  <c r="I55" i="1"/>
  <c r="G55" i="1"/>
  <c r="E55" i="1"/>
  <c r="F55" i="1"/>
  <c r="H55" i="1"/>
  <c r="C57" i="1" l="1"/>
  <c r="D57" i="1" s="1"/>
  <c r="I56" i="1"/>
  <c r="G56" i="1"/>
  <c r="E56" i="1"/>
  <c r="F56" i="1"/>
  <c r="H56" i="1"/>
  <c r="C58" i="1" l="1"/>
  <c r="D58" i="1" s="1"/>
  <c r="I57" i="1"/>
  <c r="G57" i="1"/>
  <c r="E57" i="1"/>
  <c r="F57" i="1"/>
  <c r="H57" i="1"/>
  <c r="C59" i="1" l="1"/>
  <c r="D59" i="1" s="1"/>
  <c r="I58" i="1"/>
  <c r="G58" i="1"/>
  <c r="E58" i="1"/>
  <c r="F58" i="1"/>
  <c r="H58" i="1"/>
  <c r="C60" i="1" l="1"/>
  <c r="D60" i="1" s="1"/>
  <c r="I59" i="1"/>
  <c r="G59" i="1"/>
  <c r="E59" i="1"/>
  <c r="F59" i="1"/>
  <c r="H59" i="1"/>
  <c r="C61" i="1" l="1"/>
  <c r="D61" i="1" s="1"/>
  <c r="I60" i="1"/>
  <c r="G60" i="1"/>
  <c r="E60" i="1"/>
  <c r="F60" i="1"/>
  <c r="H60" i="1"/>
  <c r="C62" i="1" l="1"/>
  <c r="D62" i="1" s="1"/>
  <c r="I61" i="1"/>
  <c r="G61" i="1"/>
  <c r="E61" i="1"/>
  <c r="F61" i="1"/>
  <c r="H61" i="1"/>
  <c r="C63" i="1" l="1"/>
  <c r="D63" i="1" s="1"/>
  <c r="I62" i="1"/>
  <c r="G62" i="1"/>
  <c r="E62" i="1"/>
  <c r="F62" i="1"/>
  <c r="H62" i="1"/>
  <c r="C64" i="1" l="1"/>
  <c r="D64" i="1" s="1"/>
  <c r="I63" i="1"/>
  <c r="G63" i="1"/>
  <c r="E63" i="1"/>
  <c r="F63" i="1"/>
  <c r="H63" i="1"/>
  <c r="C65" i="1" l="1"/>
  <c r="D65" i="1" s="1"/>
  <c r="I64" i="1"/>
  <c r="G64" i="1"/>
  <c r="E64" i="1"/>
  <c r="F64" i="1"/>
  <c r="H64" i="1"/>
  <c r="C66" i="1" l="1"/>
  <c r="D66" i="1" s="1"/>
  <c r="I65" i="1"/>
  <c r="G65" i="1"/>
  <c r="E65" i="1"/>
  <c r="F65" i="1"/>
  <c r="H65" i="1"/>
  <c r="C67" i="1" l="1"/>
  <c r="D67" i="1" s="1"/>
  <c r="I66" i="1"/>
  <c r="G66" i="1"/>
  <c r="E66" i="1"/>
  <c r="F66" i="1"/>
  <c r="H66" i="1"/>
  <c r="C68" i="1" l="1"/>
  <c r="D68" i="1" s="1"/>
  <c r="I67" i="1"/>
  <c r="G67" i="1"/>
  <c r="E67" i="1"/>
  <c r="F67" i="1"/>
  <c r="H67" i="1"/>
  <c r="C69" i="1" l="1"/>
  <c r="D69" i="1" s="1"/>
  <c r="I68" i="1"/>
  <c r="G68" i="1"/>
  <c r="E68" i="1"/>
  <c r="F68" i="1"/>
  <c r="H68" i="1"/>
  <c r="C70" i="1" l="1"/>
  <c r="D70" i="1" s="1"/>
  <c r="I69" i="1"/>
  <c r="G69" i="1"/>
  <c r="E69" i="1"/>
  <c r="F69" i="1"/>
  <c r="H69" i="1"/>
  <c r="C71" i="1" l="1"/>
  <c r="D71" i="1" s="1"/>
  <c r="I70" i="1"/>
  <c r="G70" i="1"/>
  <c r="E70" i="1"/>
  <c r="F70" i="1"/>
  <c r="H70" i="1"/>
  <c r="C72" i="1" l="1"/>
  <c r="D72" i="1" s="1"/>
  <c r="I71" i="1"/>
  <c r="G71" i="1"/>
  <c r="E71" i="1"/>
  <c r="F71" i="1"/>
  <c r="H71" i="1"/>
  <c r="C73" i="1" l="1"/>
  <c r="D73" i="1" s="1"/>
  <c r="I72" i="1"/>
  <c r="G72" i="1"/>
  <c r="E72" i="1"/>
  <c r="F72" i="1"/>
  <c r="H72" i="1"/>
  <c r="C74" i="1" l="1"/>
  <c r="D74" i="1" s="1"/>
  <c r="I73" i="1"/>
  <c r="G73" i="1"/>
  <c r="E73" i="1"/>
  <c r="F73" i="1"/>
  <c r="H73" i="1"/>
  <c r="C75" i="1" l="1"/>
  <c r="D75" i="1" s="1"/>
  <c r="I74" i="1"/>
  <c r="G74" i="1"/>
  <c r="E74" i="1"/>
  <c r="F74" i="1"/>
  <c r="H74" i="1"/>
  <c r="C76" i="1" l="1"/>
  <c r="D76" i="1" s="1"/>
  <c r="I75" i="1"/>
  <c r="G75" i="1"/>
  <c r="E75" i="1"/>
  <c r="F75" i="1"/>
  <c r="H75" i="1"/>
  <c r="C77" i="1" l="1"/>
  <c r="D77" i="1" s="1"/>
  <c r="I76" i="1"/>
  <c r="G76" i="1"/>
  <c r="E76" i="1"/>
  <c r="F76" i="1"/>
  <c r="H76" i="1"/>
  <c r="C78" i="1" l="1"/>
  <c r="D78" i="1" s="1"/>
  <c r="I77" i="1"/>
  <c r="G77" i="1"/>
  <c r="E77" i="1"/>
  <c r="F77" i="1"/>
  <c r="H77" i="1"/>
  <c r="C79" i="1" l="1"/>
  <c r="D79" i="1" s="1"/>
  <c r="I78" i="1"/>
  <c r="G78" i="1"/>
  <c r="E78" i="1"/>
  <c r="F78" i="1"/>
  <c r="H78" i="1"/>
  <c r="C80" i="1" l="1"/>
  <c r="D80" i="1" s="1"/>
  <c r="I79" i="1"/>
  <c r="G79" i="1"/>
  <c r="E79" i="1"/>
  <c r="F79" i="1"/>
  <c r="H79" i="1"/>
  <c r="C81" i="1" l="1"/>
  <c r="D81" i="1" s="1"/>
  <c r="I80" i="1"/>
  <c r="G80" i="1"/>
  <c r="E80" i="1"/>
  <c r="F80" i="1"/>
  <c r="H80" i="1"/>
  <c r="C82" i="1" l="1"/>
  <c r="D82" i="1" s="1"/>
  <c r="I81" i="1"/>
  <c r="G81" i="1"/>
  <c r="E81" i="1"/>
  <c r="F81" i="1"/>
  <c r="H81" i="1"/>
  <c r="C83" i="1" l="1"/>
  <c r="D83" i="1" s="1"/>
  <c r="I82" i="1"/>
  <c r="G82" i="1"/>
  <c r="E82" i="1"/>
  <c r="F82" i="1"/>
  <c r="H82" i="1"/>
  <c r="C84" i="1" l="1"/>
  <c r="D84" i="1" s="1"/>
  <c r="I83" i="1"/>
  <c r="G83" i="1"/>
  <c r="E83" i="1"/>
  <c r="F83" i="1"/>
  <c r="H83" i="1"/>
  <c r="C85" i="1" l="1"/>
  <c r="D85" i="1" s="1"/>
  <c r="I84" i="1"/>
  <c r="G84" i="1"/>
  <c r="E84" i="1"/>
  <c r="F84" i="1"/>
  <c r="H84" i="1"/>
  <c r="C86" i="1" l="1"/>
  <c r="D86" i="1" s="1"/>
  <c r="I85" i="1"/>
  <c r="G85" i="1"/>
  <c r="E85" i="1"/>
  <c r="F85" i="1"/>
  <c r="H85" i="1"/>
  <c r="C87" i="1" l="1"/>
  <c r="D87" i="1" s="1"/>
  <c r="I86" i="1"/>
  <c r="G86" i="1"/>
  <c r="E86" i="1"/>
  <c r="F86" i="1"/>
  <c r="H86" i="1"/>
  <c r="C88" i="1" l="1"/>
  <c r="D88" i="1" s="1"/>
  <c r="I87" i="1"/>
  <c r="G87" i="1"/>
  <c r="E87" i="1"/>
  <c r="F87" i="1"/>
  <c r="H87" i="1"/>
  <c r="C89" i="1" l="1"/>
  <c r="D89" i="1" s="1"/>
  <c r="I88" i="1"/>
  <c r="G88" i="1"/>
  <c r="E88" i="1"/>
  <c r="F88" i="1"/>
  <c r="H88" i="1"/>
  <c r="C90" i="1" l="1"/>
  <c r="D90" i="1" s="1"/>
  <c r="I89" i="1"/>
  <c r="G89" i="1"/>
  <c r="E89" i="1"/>
  <c r="F89" i="1"/>
  <c r="H89" i="1"/>
  <c r="C91" i="1" l="1"/>
  <c r="D91" i="1" s="1"/>
  <c r="I90" i="1"/>
  <c r="G90" i="1"/>
  <c r="E90" i="1"/>
  <c r="F90" i="1"/>
  <c r="H90" i="1"/>
  <c r="C92" i="1" l="1"/>
  <c r="D92" i="1" s="1"/>
  <c r="I91" i="1"/>
  <c r="G91" i="1"/>
  <c r="E91" i="1"/>
  <c r="F91" i="1"/>
  <c r="H91" i="1"/>
  <c r="C93" i="1" l="1"/>
  <c r="D93" i="1" s="1"/>
  <c r="I92" i="1"/>
  <c r="G92" i="1"/>
  <c r="E92" i="1"/>
  <c r="F92" i="1"/>
  <c r="H92" i="1"/>
  <c r="C94" i="1" l="1"/>
  <c r="D94" i="1" s="1"/>
  <c r="I93" i="1"/>
  <c r="G93" i="1"/>
  <c r="E93" i="1"/>
  <c r="F93" i="1"/>
  <c r="H93" i="1"/>
  <c r="C95" i="1" l="1"/>
  <c r="D95" i="1" s="1"/>
  <c r="I94" i="1"/>
  <c r="G94" i="1"/>
  <c r="E94" i="1"/>
  <c r="F94" i="1"/>
  <c r="H94" i="1"/>
  <c r="C96" i="1" l="1"/>
  <c r="D96" i="1" s="1"/>
  <c r="I95" i="1"/>
  <c r="G95" i="1"/>
  <c r="E95" i="1"/>
  <c r="F95" i="1"/>
  <c r="H95" i="1"/>
  <c r="C97" i="1" l="1"/>
  <c r="D97" i="1" s="1"/>
  <c r="I96" i="1"/>
  <c r="G96" i="1"/>
  <c r="E96" i="1"/>
  <c r="F96" i="1"/>
  <c r="H96" i="1"/>
  <c r="C98" i="1" l="1"/>
  <c r="D98" i="1" s="1"/>
  <c r="I97" i="1"/>
  <c r="G97" i="1"/>
  <c r="E97" i="1"/>
  <c r="F97" i="1"/>
  <c r="H97" i="1"/>
  <c r="I98" i="1" l="1"/>
  <c r="I99" i="1" s="1"/>
  <c r="G98" i="1"/>
  <c r="G99" i="1" s="1"/>
  <c r="E98" i="1"/>
  <c r="E99" i="1" s="1"/>
  <c r="F98" i="1"/>
  <c r="F99" i="1" s="1"/>
  <c r="H98" i="1"/>
  <c r="H99" i="1" s="1"/>
  <c r="E1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Антон</author>
  </authors>
  <commentList>
    <comment ref="Q19" authorId="0" shapeId="0" xr:uid="{00000000-0006-0000-0000-000001000000}">
      <text>
        <r>
          <rPr>
            <b/>
            <sz val="9"/>
            <rFont val="Tahoma"/>
            <family val="2"/>
            <charset val="204"/>
          </rPr>
          <t>Весь перечень из списка на год, кроме отпуска</t>
        </r>
      </text>
    </comment>
    <comment ref="Q20" authorId="0" shapeId="0" xr:uid="{00000000-0006-0000-0000-000002000000}">
      <text>
        <r>
          <rPr>
            <sz val="9"/>
            <rFont val="Tahoma"/>
            <family val="2"/>
            <charset val="204"/>
          </rPr>
          <t>ПВ инвестквартира</t>
        </r>
      </text>
    </comment>
    <comment ref="Q21" authorId="0" shapeId="0" xr:uid="{00000000-0006-0000-0000-000003000000}">
      <text/>
    </comment>
    <comment ref="Q22" authorId="0" shapeId="0" xr:uid="{00000000-0006-0000-0000-000004000000}">
      <text>
        <r>
          <rPr>
            <sz val="11"/>
            <rFont val="Calibri"/>
            <family val="2"/>
            <charset val="204"/>
          </rPr>
          <t>Игорь:вернуть долг</t>
        </r>
      </text>
    </comment>
    <comment ref="Q23" authorId="0" shapeId="0" xr:uid="{00000000-0006-0000-0000-000005000000}">
      <text>
        <r>
          <rPr>
            <sz val="11"/>
            <rFont val="Calibri"/>
            <family val="2"/>
            <charset val="204"/>
          </rPr>
          <t>Семья:отпуск</t>
        </r>
      </text>
    </comment>
    <comment ref="Q24" authorId="0" shapeId="0" xr:uid="{00000000-0006-0000-0000-000006000000}">
      <text>
        <r>
          <rPr>
            <sz val="11"/>
            <rFont val="Calibri"/>
            <family val="2"/>
            <charset val="204"/>
          </rPr>
          <t>Цель 1:Инвестиции в недвижимость</t>
        </r>
      </text>
    </comment>
    <comment ref="Q27" authorId="0" shapeId="0" xr:uid="{00000000-0006-0000-0000-000007000000}">
      <text>
        <r>
          <rPr>
            <b/>
            <sz val="9"/>
            <rFont val="Tahoma"/>
            <family val="2"/>
            <charset val="204"/>
          </rPr>
          <t>Путешествие</t>
        </r>
      </text>
    </comment>
    <comment ref="Q30" authorId="1" shapeId="0" xr:uid="{00000000-0006-0000-0000-000008000000}">
      <text>
        <r>
          <rPr>
            <sz val="8"/>
            <color indexed="81"/>
            <rFont val="Tahoma"/>
            <family val="2"/>
            <charset val="204"/>
          </rPr>
          <t xml:space="preserve">покупка курса
</t>
        </r>
      </text>
    </comment>
    <comment ref="Q34" authorId="0" shapeId="0" xr:uid="{00000000-0006-0000-0000-000009000000}">
      <text>
        <r>
          <rPr>
            <b/>
            <sz val="9"/>
            <rFont val="Tahoma"/>
            <family val="2"/>
            <charset val="204"/>
          </rPr>
          <t>Первоначальный взнос</t>
        </r>
      </text>
    </comment>
    <comment ref="Q64" authorId="0" shapeId="0" xr:uid="{00000000-0006-0000-0000-00000A000000}">
      <text>
        <r>
          <rPr>
            <sz val="11"/>
            <rFont val="Calibri"/>
            <family val="2"/>
            <charset val="204"/>
          </rPr>
          <t xml:space="preserve">Цель 2:квартира сыну </t>
        </r>
      </text>
    </comment>
    <comment ref="Q75" authorId="1" shapeId="0" xr:uid="{00000000-0006-0000-0000-00000B000000}">
      <text>
        <r>
          <rPr>
            <sz val="8"/>
            <color indexed="81"/>
            <rFont val="Tahoma"/>
            <family val="2"/>
            <charset val="204"/>
          </rPr>
          <t xml:space="preserve">Дочь
Обрзование
</t>
        </r>
      </text>
    </comment>
    <comment ref="Q77" authorId="1" shapeId="0" xr:uid="{00000000-0006-0000-0000-00000C000000}">
      <text>
        <r>
          <rPr>
            <sz val="8"/>
            <color indexed="81"/>
            <rFont val="Tahoma"/>
            <family val="2"/>
            <charset val="204"/>
          </rPr>
          <t xml:space="preserve">образование
</t>
        </r>
      </text>
    </comment>
    <comment ref="Q81" authorId="1" shapeId="0" xr:uid="{00000000-0006-0000-0000-00000D000000}">
      <text>
        <r>
          <rPr>
            <sz val="8"/>
            <color indexed="81"/>
            <rFont val="Tahoma"/>
            <family val="2"/>
            <charset val="204"/>
          </rPr>
          <t xml:space="preserve">образование
</t>
        </r>
      </text>
    </comment>
    <comment ref="Q85" authorId="1" shapeId="0" xr:uid="{00000000-0006-0000-0000-00000E000000}">
      <text>
        <r>
          <rPr>
            <sz val="8"/>
            <color indexed="81"/>
            <rFont val="Tahoma"/>
            <family val="2"/>
            <charset val="204"/>
          </rPr>
          <t xml:space="preserve">образование
</t>
        </r>
      </text>
    </comment>
    <comment ref="Q89" authorId="1" shapeId="0" xr:uid="{00000000-0006-0000-0000-00000F000000}">
      <text>
        <r>
          <rPr>
            <sz val="8"/>
            <color indexed="81"/>
            <rFont val="Tahoma"/>
            <family val="2"/>
            <charset val="204"/>
          </rPr>
          <t xml:space="preserve">накопления
</t>
        </r>
      </text>
    </comment>
    <comment ref="Q93" authorId="1" shapeId="0" xr:uid="{00000000-0006-0000-0000-000010000000}">
      <text>
        <r>
          <rPr>
            <sz val="8"/>
            <color indexed="81"/>
            <rFont val="Tahoma"/>
            <family val="2"/>
            <charset val="204"/>
          </rPr>
          <t xml:space="preserve">свадьба дочери
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<sst xmlns="http://schemas.openxmlformats.org/spreadsheetml/2006/main" count="37" uniqueCount="37">
  <si>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ЛИЧНЫЙ ФИНАНСОВЫЙ ПЛАН </t>
  </si>
  <si>
    <t>Свободная сумма</t>
  </si>
  <si>
    <t>Инвестиционный период</t>
  </si>
  <si>
    <t xml:space="preserve">Первичное накопление в банке </t>
  </si>
  <si>
    <t>Остаток в банке после распределения средств</t>
  </si>
  <si>
    <t>КАПИТАЛ (НАКОПЛЕНИЯ)</t>
  </si>
  <si>
    <t>ОПЕРАЦИИ</t>
  </si>
  <si>
    <t>Цели</t>
  </si>
  <si>
    <t>Выбор актива для закрытия цели</t>
  </si>
  <si>
    <t>Выход из сделки по недвижимости</t>
  </si>
  <si>
    <t>ПРИМЕЧАНИЕ</t>
  </si>
  <si>
    <t>СК (1)</t>
  </si>
  <si>
    <t>Банк (2)</t>
  </si>
  <si>
    <t>Облигации, фонды (3)</t>
  </si>
  <si>
    <t>Акции (4)</t>
  </si>
  <si>
    <t>Криптовалюта (5)</t>
  </si>
  <si>
    <t>Недвижимость (6)</t>
  </si>
  <si>
    <t>СТРАХОВАЯ КОМПАНИЯ</t>
  </si>
  <si>
    <t>Банк</t>
  </si>
  <si>
    <t>Облигации, фонды</t>
  </si>
  <si>
    <t>Акции</t>
  </si>
  <si>
    <t>Криптовалюта</t>
  </si>
  <si>
    <t>Недвижимость</t>
  </si>
  <si>
    <t>ТЕКУЩАЯ СИТУАЦИЯ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</si>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</sst>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_р_._-;\-* #,##0_р_._-;_-* \-??_р_._-;_-@_-"/>
  </numFmts>
  <fonts count="15">
    <font>
      <sz val="11"/>
      <name val="Calibri"/>
    </font>
    <font>
      <sz val="10"/>
      <name val="Arial Cyr"/>
    </font>
    <font>
      <b/>
      <sz val="10"/>
      <name val="Arial Cyr"/>
    </font>
    <font>
      <b/>
      <sz val="8"/>
      <name val="Arial Cyr"/>
    </font>
    <font>
      <sz val="8"/>
      <name val="Arial Cyr"/>
    </font>
    <font>
      <b/>
      <sz val="7.5"/>
      <name val="Arial Cyr"/>
    </font>
    <font>
      <b/>
      <sz val="11"/>
      <name val="Arial Cyr"/>
    </font>
    <font>
      <b/>
      <sz val="11"/>
      <color rgb="FFFF0000"/>
      <name val="Arial Cyr"/>
    </font>
    <font>
      <b/>
      <sz val="10"/>
      <color rgb="FFFF0000"/>
      <name val="Arial Cy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8"/>
      <name val="Arimo"/>
    </font>
    <font>
      <sz val="11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2" tint="-9.9948118533890809E-2"/>
        <bgColor indexed="65"/>
      </patternFill>
    </fill>
    <fill>
      <patternFill patternType="solid">
        <fgColor theme="0" tint="-4.9958800012207406E-2"/>
        <bgColor indexed="65"/>
      </patternFill>
    </fill>
    <fill>
      <patternFill patternType="solid">
        <fgColor rgb="FFC0C0C0"/>
        <bgColor rgb="FFC0C0C0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2" fillId="0" borderId="0"/>
    <xf numFmtId="43" fontId="12" fillId="0" borderId="0" applyFont="0" applyFill="0" applyBorder="0" applyAlignment="0" applyProtection="0"/>
  </cellStyleXfs>
  <cellXfs count="16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29" xfId="0" applyNumberFormat="1" applyFont="1" applyBorder="1"/>
    <xf numFmtId="0" fontId="4" fillId="0" borderId="17" xfId="0" applyNumberFormat="1" applyFont="1" applyBorder="1"/>
    <xf numFmtId="0" fontId="5" fillId="0" borderId="1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4" fillId="4" borderId="14" xfId="0" applyNumberFormat="1" applyFont="1" applyFill="1" applyBorder="1" applyAlignment="1">
      <alignment horizontal="center" vertical="center"/>
    </xf>
    <xf numFmtId="0" fontId="1" fillId="0" borderId="36" xfId="0" applyNumberFormat="1" applyFont="1" applyBorder="1"/>
    <xf numFmtId="3" fontId="4" fillId="12" borderId="1" xfId="0" applyNumberFormat="1" applyFont="1" applyFill="1" applyBorder="1"/>
    <xf numFmtId="0" fontId="2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0" fontId="13" fillId="13" borderId="36" xfId="0" applyFont="1" applyFill="1" applyBorder="1" applyAlignment="1" applyProtection="1">
      <alignment horizontal="right" vertical="center" wrapText="1"/>
      <protection hidden="1"/>
    </xf>
    <xf numFmtId="0" fontId="13" fillId="13" borderId="18" xfId="0" applyFont="1" applyFill="1" applyBorder="1" applyAlignment="1" applyProtection="1">
      <alignment horizontal="right" vertical="center" wrapText="1"/>
      <protection hidden="1"/>
    </xf>
    <xf numFmtId="0" fontId="13" fillId="13" borderId="37" xfId="0" applyFont="1" applyFill="1" applyBorder="1" applyAlignment="1" applyProtection="1">
      <alignment horizontal="right" vertical="center" wrapText="1"/>
      <protection hidden="1"/>
    </xf>
    <xf numFmtId="3" fontId="4" fillId="0" borderId="36" xfId="0" applyNumberFormat="1" applyFont="1" applyBorder="1" applyProtection="1">
      <protection hidden="1"/>
    </xf>
    <xf numFmtId="3" fontId="4" fillId="0" borderId="38" xfId="0" applyNumberFormat="1" applyFont="1" applyBorder="1" applyProtection="1">
      <protection hidden="1"/>
    </xf>
    <xf numFmtId="3" fontId="4" fillId="0" borderId="37" xfId="0" applyNumberFormat="1" applyFont="1" applyBorder="1" applyProtection="1">
      <protection hidden="1"/>
    </xf>
    <xf numFmtId="3" fontId="4" fillId="2" borderId="39" xfId="0" applyNumberFormat="1" applyFont="1" applyFill="1" applyBorder="1" applyProtection="1">
      <protection hidden="1"/>
    </xf>
    <xf numFmtId="3" fontId="4" fillId="0" borderId="13" xfId="0" applyNumberFormat="1" applyFont="1" applyBorder="1" applyProtection="1">
      <protection hidden="1"/>
    </xf>
    <xf numFmtId="3" fontId="4" fillId="0" borderId="14" xfId="0" applyNumberFormat="1" applyFont="1" applyBorder="1" applyProtection="1">
      <protection hidden="1"/>
    </xf>
    <xf numFmtId="3" fontId="4" fillId="2" borderId="36" xfId="0" applyNumberFormat="1" applyFont="1" applyFill="1" applyBorder="1" applyProtection="1">
      <protection hidden="1"/>
    </xf>
    <xf numFmtId="3" fontId="4" fillId="0" borderId="18" xfId="0" applyNumberFormat="1" applyFont="1" applyBorder="1" applyProtection="1">
      <protection hidden="1"/>
    </xf>
    <xf numFmtId="3" fontId="4" fillId="0" borderId="23" xfId="0" applyNumberFormat="1" applyFont="1" applyBorder="1" applyProtection="1">
      <protection hidden="1"/>
    </xf>
    <xf numFmtId="3" fontId="4" fillId="0" borderId="17" xfId="0" applyNumberFormat="1" applyFont="1" applyBorder="1" applyProtection="1">
      <protection hidden="1"/>
    </xf>
    <xf numFmtId="3" fontId="4" fillId="2" borderId="18" xfId="0" applyNumberFormat="1" applyFont="1" applyFill="1" applyBorder="1" applyProtection="1">
      <protection hidden="1"/>
    </xf>
    <xf numFmtId="3" fontId="4" fillId="0" borderId="39" xfId="0" applyNumberFormat="1" applyFont="1" applyBorder="1" applyProtection="1">
      <protection hidden="1"/>
    </xf>
    <xf numFmtId="3" fontId="4" fillId="0" borderId="9" xfId="0" applyNumberFormat="1" applyFont="1" applyBorder="1" applyProtection="1">
      <protection hidden="1"/>
    </xf>
    <xf numFmtId="3" fontId="4" fillId="0" borderId="2" xfId="0" applyNumberFormat="1" applyFont="1" applyBorder="1" applyProtection="1">
      <protection hidden="1"/>
    </xf>
    <xf numFmtId="3" fontId="4" fillId="0" borderId="49" xfId="0" applyNumberFormat="1" applyFont="1" applyBorder="1" applyProtection="1">
      <protection hidden="1"/>
    </xf>
    <xf numFmtId="3" fontId="4" fillId="0" borderId="50" xfId="0" applyNumberFormat="1" applyFont="1" applyBorder="1" applyProtection="1">
      <protection hidden="1"/>
    </xf>
    <xf numFmtId="3" fontId="4" fillId="0" borderId="48" xfId="0" applyNumberFormat="1" applyFont="1" applyBorder="1" applyProtection="1">
      <protection hidden="1"/>
    </xf>
    <xf numFmtId="3" fontId="4" fillId="2" borderId="49" xfId="0" applyNumberFormat="1" applyFont="1" applyFill="1" applyBorder="1" applyProtection="1">
      <protection hidden="1"/>
    </xf>
    <xf numFmtId="3" fontId="4" fillId="0" borderId="52" xfId="0" applyNumberFormat="1" applyFont="1" applyBorder="1" applyProtection="1">
      <protection hidden="1"/>
    </xf>
    <xf numFmtId="3" fontId="4" fillId="0" borderId="51" xfId="0" applyNumberFormat="1" applyFont="1" applyBorder="1" applyProtection="1">
      <protection hidden="1"/>
    </xf>
    <xf numFmtId="3" fontId="4" fillId="2" borderId="53" xfId="0" applyNumberFormat="1" applyFont="1" applyFill="1" applyBorder="1" applyProtection="1">
      <protection hidden="1"/>
    </xf>
    <xf numFmtId="3" fontId="4" fillId="2" borderId="45" xfId="0" applyNumberFormat="1" applyFont="1" applyFill="1" applyBorder="1" applyProtection="1">
      <protection hidden="1"/>
    </xf>
    <xf numFmtId="3" fontId="4" fillId="2" borderId="56" xfId="0" applyNumberFormat="1" applyFont="1" applyFill="1" applyBorder="1" applyProtection="1">
      <protection hidden="1"/>
    </xf>
    <xf numFmtId="3" fontId="4" fillId="2" borderId="57" xfId="0" applyNumberFormat="1" applyFont="1" applyFill="1" applyBorder="1" applyProtection="1">
      <protection hidden="1"/>
    </xf>
    <xf numFmtId="164" fontId="6" fillId="0" borderId="60" xfId="0" applyNumberFormat="1" applyFont="1" applyBorder="1" applyAlignment="1" applyProtection="1">
      <alignment vertical="center" wrapText="1"/>
      <protection hidden="1"/>
    </xf>
    <xf numFmtId="164" fontId="2" fillId="0" borderId="59" xfId="0" applyNumberFormat="1" applyFont="1" applyBorder="1" applyAlignment="1" applyProtection="1">
      <alignment vertical="center" wrapText="1"/>
      <protection hidden="1"/>
    </xf>
    <xf numFmtId="164" fontId="2" fillId="0" borderId="60" xfId="0" applyNumberFormat="1" applyFont="1" applyBorder="1" applyAlignment="1" applyProtection="1">
      <alignment vertical="center" wrapText="1"/>
      <protection hidden="1"/>
    </xf>
    <xf numFmtId="164" fontId="7" fillId="0" borderId="59" xfId="0" applyNumberFormat="1" applyFont="1" applyBorder="1" applyAlignment="1" applyProtection="1">
      <alignment vertical="center" wrapText="1"/>
      <protection hidden="1"/>
    </xf>
    <xf numFmtId="0" fontId="3" fillId="0" borderId="13" xfId="0" applyNumberFormat="1" applyFont="1" applyBorder="1" applyAlignment="1" applyProtection="1">
      <alignment horizontal="center" vertical="center"/>
      <protection hidden="1"/>
    </xf>
    <xf numFmtId="0" fontId="3" fillId="0" borderId="14" xfId="0" applyNumberFormat="1" applyFont="1" applyBorder="1" applyAlignment="1" applyProtection="1">
      <alignment horizontal="center" vertical="center"/>
      <protection hidden="1"/>
    </xf>
    <xf numFmtId="0" fontId="3" fillId="0" borderId="0" xfId="0" applyNumberFormat="1" applyFont="1" applyAlignment="1" applyProtection="1">
      <alignment horizontal="center" vertical="center" wrapText="1"/>
      <protection hidden="1"/>
    </xf>
    <xf numFmtId="9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9" fontId="3" fillId="2" borderId="15" xfId="0" applyNumberFormat="1" applyFont="1" applyFill="1" applyBorder="1" applyAlignment="1" applyProtection="1">
      <alignment horizontal="center" vertical="center" wrapText="1"/>
      <protection hidden="1"/>
    </xf>
    <xf numFmtId="3" fontId="4" fillId="12" borderId="40" xfId="0" applyNumberFormat="1" applyFont="1" applyFill="1" applyBorder="1" applyProtection="1">
      <protection locked="0"/>
    </xf>
    <xf numFmtId="3" fontId="4" fillId="12" borderId="29" xfId="0" applyNumberFormat="1" applyFont="1" applyFill="1" applyBorder="1" applyProtection="1">
      <protection locked="0"/>
    </xf>
    <xf numFmtId="3" fontId="4" fillId="12" borderId="46" xfId="0" applyNumberFormat="1" applyFont="1" applyFill="1" applyBorder="1" applyProtection="1">
      <protection locked="0"/>
    </xf>
    <xf numFmtId="3" fontId="4" fillId="12" borderId="47" xfId="0" applyNumberFormat="1" applyFont="1" applyFill="1" applyBorder="1" applyProtection="1">
      <protection locked="0"/>
    </xf>
    <xf numFmtId="3" fontId="4" fillId="12" borderId="13" xfId="0" applyNumberFormat="1" applyFont="1" applyFill="1" applyBorder="1" applyProtection="1">
      <protection locked="0"/>
    </xf>
    <xf numFmtId="3" fontId="4" fillId="12" borderId="14" xfId="0" applyNumberFormat="1" applyFont="1" applyFill="1" applyBorder="1" applyProtection="1">
      <protection locked="0"/>
    </xf>
    <xf numFmtId="3" fontId="4" fillId="12" borderId="36" xfId="0" applyNumberFormat="1" applyFont="1" applyFill="1" applyBorder="1" applyProtection="1">
      <protection locked="0"/>
    </xf>
    <xf numFmtId="3" fontId="4" fillId="12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0" borderId="36" xfId="0" applyNumberFormat="1" applyFont="1" applyBorder="1" applyProtection="1">
      <protection locked="0"/>
    </xf>
    <xf numFmtId="3" fontId="4" fillId="12" borderId="41" xfId="0" applyNumberFormat="1" applyFont="1" applyFill="1" applyBorder="1" applyProtection="1">
      <protection locked="0"/>
    </xf>
    <xf numFmtId="3" fontId="4" fillId="12" borderId="42" xfId="0" applyNumberFormat="1" applyFont="1" applyFill="1" applyBorder="1" applyProtection="1">
      <protection locked="0"/>
    </xf>
    <xf numFmtId="3" fontId="4" fillId="12" borderId="43" xfId="0" applyNumberFormat="1" applyFont="1" applyFill="1" applyBorder="1" applyProtection="1">
      <protection locked="0"/>
    </xf>
    <xf numFmtId="3" fontId="4" fillId="12" borderId="44" xfId="0" applyNumberFormat="1" applyFont="1" applyFill="1" applyBorder="1" applyProtection="1">
      <protection locked="0"/>
    </xf>
    <xf numFmtId="3" fontId="4" fillId="12" borderId="45" xfId="0" applyNumberFormat="1" applyFont="1" applyFill="1" applyBorder="1" applyProtection="1">
      <protection locked="0"/>
    </xf>
    <xf numFmtId="3" fontId="4" fillId="12" borderId="42" xfId="0" applyNumberFormat="1" applyFont="1" applyFill="1" applyBorder="1" applyAlignment="1" applyProtection="1">
      <alignment horizontal="center" vertical="center"/>
      <protection locked="0"/>
    </xf>
    <xf numFmtId="0" fontId="4" fillId="4" borderId="43" xfId="0" applyNumberFormat="1" applyFont="1" applyFill="1" applyBorder="1" applyAlignment="1" applyProtection="1">
      <alignment horizontal="center" vertical="center"/>
      <protection locked="0"/>
    </xf>
    <xf numFmtId="0" fontId="1" fillId="0" borderId="45" xfId="0" applyNumberFormat="1" applyFont="1" applyBorder="1" applyProtection="1">
      <protection locked="0"/>
    </xf>
    <xf numFmtId="3" fontId="4" fillId="12" borderId="9" xfId="0" applyNumberFormat="1" applyFont="1" applyFill="1" applyBorder="1" applyProtection="1">
      <protection locked="0"/>
    </xf>
    <xf numFmtId="3" fontId="4" fillId="12" borderId="2" xfId="0" applyNumberFormat="1" applyFont="1" applyFill="1" applyBorder="1" applyProtection="1">
      <protection locked="0"/>
    </xf>
    <xf numFmtId="3" fontId="4" fillId="12" borderId="3" xfId="0" applyNumberFormat="1" applyFont="1" applyFill="1" applyBorder="1" applyProtection="1">
      <protection locked="0"/>
    </xf>
    <xf numFmtId="3" fontId="4" fillId="12" borderId="1" xfId="0" applyNumberFormat="1" applyFont="1" applyFill="1" applyBorder="1" applyProtection="1">
      <protection locked="0"/>
    </xf>
    <xf numFmtId="3" fontId="4" fillId="12" borderId="2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Protection="1">
      <protection locked="0"/>
    </xf>
    <xf numFmtId="3" fontId="4" fillId="12" borderId="14" xfId="0" applyNumberFormat="1" applyFont="1" applyFill="1" applyBorder="1" applyAlignment="1" applyProtection="1">
      <alignment horizontal="center" vertical="center"/>
      <protection locked="0"/>
    </xf>
    <xf numFmtId="3" fontId="4" fillId="12" borderId="50" xfId="0" applyNumberFormat="1" applyFont="1" applyFill="1" applyBorder="1" applyProtection="1">
      <protection locked="0"/>
    </xf>
    <xf numFmtId="3" fontId="4" fillId="12" borderId="48" xfId="0" applyNumberFormat="1" applyFont="1" applyFill="1" applyBorder="1" applyProtection="1">
      <protection locked="0"/>
    </xf>
    <xf numFmtId="3" fontId="4" fillId="12" borderId="49" xfId="0" applyNumberFormat="1" applyFont="1" applyFill="1" applyBorder="1" applyProtection="1">
      <protection locked="0"/>
    </xf>
    <xf numFmtId="3" fontId="4" fillId="12" borderId="48" xfId="0" applyNumberFormat="1" applyFont="1" applyFill="1" applyBorder="1" applyAlignment="1" applyProtection="1">
      <alignment horizontal="center" vertical="center"/>
      <protection locked="0"/>
    </xf>
    <xf numFmtId="0" fontId="4" fillId="4" borderId="48" xfId="0" applyNumberFormat="1" applyFont="1" applyFill="1" applyBorder="1" applyAlignment="1" applyProtection="1">
      <alignment horizontal="center" vertical="center"/>
      <protection locked="0"/>
    </xf>
    <xf numFmtId="0" fontId="1" fillId="0" borderId="49" xfId="0" applyNumberFormat="1" applyFont="1" applyBorder="1" applyProtection="1">
      <protection locked="0"/>
    </xf>
    <xf numFmtId="3" fontId="4" fillId="12" borderId="52" xfId="0" applyNumberFormat="1" applyFont="1" applyFill="1" applyBorder="1" applyProtection="1">
      <protection locked="0"/>
    </xf>
    <xf numFmtId="3" fontId="4" fillId="12" borderId="37" xfId="0" applyNumberFormat="1" applyFont="1" applyFill="1" applyBorder="1" applyProtection="1">
      <protection locked="0"/>
    </xf>
    <xf numFmtId="3" fontId="4" fillId="12" borderId="53" xfId="0" applyNumberFormat="1" applyFont="1" applyFill="1" applyBorder="1" applyProtection="1">
      <protection locked="0"/>
    </xf>
    <xf numFmtId="3" fontId="4" fillId="12" borderId="54" xfId="0" applyNumberFormat="1" applyFont="1" applyFill="1" applyBorder="1" applyProtection="1">
      <protection locked="0"/>
    </xf>
    <xf numFmtId="3" fontId="4" fillId="12" borderId="51" xfId="0" applyNumberFormat="1" applyFont="1" applyFill="1" applyBorder="1" applyAlignment="1" applyProtection="1">
      <alignment horizontal="center" vertical="center"/>
      <protection locked="0"/>
    </xf>
    <xf numFmtId="0" fontId="4" fillId="4" borderId="51" xfId="0" applyNumberFormat="1" applyFont="1" applyFill="1" applyBorder="1" applyAlignment="1" applyProtection="1">
      <alignment horizontal="center" vertical="center"/>
      <protection locked="0"/>
    </xf>
    <xf numFmtId="0" fontId="1" fillId="0" borderId="53" xfId="0" applyNumberFormat="1" applyFont="1" applyBorder="1" applyProtection="1">
      <protection locked="0"/>
    </xf>
    <xf numFmtId="3" fontId="4" fillId="12" borderId="55" xfId="0" applyNumberFormat="1" applyFont="1" applyFill="1" applyBorder="1" applyProtection="1">
      <protection locked="0"/>
    </xf>
    <xf numFmtId="3" fontId="4" fillId="12" borderId="38" xfId="0" applyNumberFormat="1" applyFont="1" applyFill="1" applyBorder="1" applyProtection="1">
      <protection locked="0"/>
    </xf>
    <xf numFmtId="164" fontId="4" fillId="4" borderId="48" xfId="0" applyNumberFormat="1" applyFont="1" applyFill="1" applyBorder="1" applyAlignment="1" applyProtection="1">
      <alignment horizontal="center" vertical="center"/>
      <protection locked="0"/>
    </xf>
    <xf numFmtId="3" fontId="4" fillId="12" borderId="39" xfId="0" applyNumberFormat="1" applyFont="1" applyFill="1" applyBorder="1" applyProtection="1">
      <protection locked="0"/>
    </xf>
    <xf numFmtId="3" fontId="4" fillId="12" borderId="37" xfId="0" applyNumberFormat="1" applyFont="1" applyFill="1" applyBorder="1" applyAlignment="1" applyProtection="1">
      <alignment horizontal="center" vertical="center"/>
      <protection locked="0"/>
    </xf>
    <xf numFmtId="0" fontId="4" fillId="4" borderId="37" xfId="0" applyNumberFormat="1" applyFont="1" applyFill="1" applyBorder="1" applyAlignment="1" applyProtection="1">
      <alignment horizontal="center" vertical="center"/>
      <protection locked="0"/>
    </xf>
    <xf numFmtId="0" fontId="1" fillId="0" borderId="39" xfId="0" applyNumberFormat="1" applyFont="1" applyBorder="1" applyProtection="1">
      <protection locked="0"/>
    </xf>
    <xf numFmtId="3" fontId="4" fillId="12" borderId="23" xfId="0" applyNumberFormat="1" applyFont="1" applyFill="1" applyBorder="1" applyProtection="1">
      <protection locked="0"/>
    </xf>
    <xf numFmtId="3" fontId="4" fillId="12" borderId="18" xfId="0" applyNumberFormat="1" applyFont="1" applyFill="1" applyBorder="1" applyProtection="1">
      <protection locked="0"/>
    </xf>
    <xf numFmtId="3" fontId="4" fillId="12" borderId="17" xfId="0" applyNumberFormat="1" applyFont="1" applyFill="1" applyBorder="1" applyAlignment="1" applyProtection="1">
      <alignment horizontal="center" vertical="center"/>
      <protection locked="0"/>
    </xf>
    <xf numFmtId="164" fontId="4" fillId="4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NumberFormat="1" applyFont="1" applyBorder="1" applyProtection="1">
      <protection locked="0"/>
    </xf>
    <xf numFmtId="9" fontId="3" fillId="5" borderId="23" xfId="0" applyNumberFormat="1" applyFont="1" applyFill="1" applyBorder="1" applyAlignment="1" applyProtection="1">
      <alignment horizontal="center" vertical="center" wrapText="1"/>
      <protection locked="0"/>
    </xf>
    <xf numFmtId="9" fontId="3" fillId="6" borderId="17" xfId="0" applyNumberFormat="1" applyFont="1" applyFill="1" applyBorder="1" applyAlignment="1" applyProtection="1">
      <alignment horizontal="center" vertical="center" wrapText="1"/>
      <protection locked="0"/>
    </xf>
    <xf numFmtId="9" fontId="3" fillId="7" borderId="17" xfId="0" applyNumberFormat="1" applyFont="1" applyFill="1" applyBorder="1" applyAlignment="1" applyProtection="1">
      <alignment horizontal="center" vertical="center" wrapText="1"/>
      <protection locked="0"/>
    </xf>
    <xf numFmtId="9" fontId="3" fillId="8" borderId="17" xfId="0" applyNumberFormat="1" applyFont="1" applyFill="1" applyBorder="1" applyAlignment="1" applyProtection="1">
      <alignment horizontal="center" vertical="center" wrapText="1"/>
      <protection locked="0"/>
    </xf>
    <xf numFmtId="9" fontId="3" fillId="9" borderId="17" xfId="0" applyNumberFormat="1" applyFont="1" applyFill="1" applyBorder="1" applyAlignment="1" applyProtection="1">
      <alignment horizontal="center" vertical="center" wrapText="1"/>
      <protection locked="0"/>
    </xf>
    <xf numFmtId="9" fontId="3" fillId="10" borderId="2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" fillId="0" borderId="58" xfId="0" applyNumberFormat="1" applyFont="1" applyBorder="1" applyProtection="1">
      <protection hidden="1"/>
    </xf>
    <xf numFmtId="0" fontId="2" fillId="0" borderId="59" xfId="0" applyNumberFormat="1" applyFont="1" applyBorder="1" applyAlignment="1" applyProtection="1">
      <alignment vertical="center" wrapText="1"/>
      <protection hidden="1"/>
    </xf>
    <xf numFmtId="164" fontId="6" fillId="0" borderId="59" xfId="0" applyNumberFormat="1" applyFont="1" applyBorder="1" applyAlignment="1" applyProtection="1">
      <alignment vertical="center" wrapText="1"/>
      <protection hidden="1"/>
    </xf>
    <xf numFmtId="164" fontId="2" fillId="0" borderId="61" xfId="0" applyNumberFormat="1" applyFont="1" applyBorder="1" applyAlignment="1" applyProtection="1">
      <alignment vertical="center" wrapText="1"/>
      <protection hidden="1"/>
    </xf>
    <xf numFmtId="164" fontId="2" fillId="0" borderId="62" xfId="0" applyNumberFormat="1" applyFont="1" applyBorder="1" applyAlignment="1" applyProtection="1">
      <alignment vertical="center" wrapText="1"/>
      <protection hidden="1"/>
    </xf>
    <xf numFmtId="164" fontId="2" fillId="0" borderId="63" xfId="0" applyNumberFormat="1" applyFont="1" applyBorder="1" applyAlignment="1" applyProtection="1">
      <alignment vertical="center" wrapText="1"/>
      <protection hidden="1"/>
    </xf>
    <xf numFmtId="164" fontId="6" fillId="0" borderId="59" xfId="0" applyNumberFormat="1" applyFont="1" applyBorder="1" applyAlignment="1" applyProtection="1">
      <alignment horizontal="center" vertical="center" wrapText="1"/>
      <protection hidden="1"/>
    </xf>
    <xf numFmtId="0" fontId="1" fillId="0" borderId="59" xfId="0" applyNumberFormat="1" applyFont="1" applyBorder="1" applyProtection="1">
      <protection hidden="1"/>
    </xf>
    <xf numFmtId="0" fontId="1" fillId="0" borderId="60" xfId="0" applyNumberFormat="1" applyFont="1" applyBorder="1" applyProtection="1">
      <protection hidden="1"/>
    </xf>
    <xf numFmtId="3" fontId="4" fillId="0" borderId="29" xfId="0" applyNumberFormat="1" applyFont="1" applyBorder="1" applyProtection="1">
      <protection hidden="1"/>
    </xf>
    <xf numFmtId="9" fontId="3" fillId="6" borderId="17" xfId="0" applyNumberFormat="1" applyFont="1" applyFill="1" applyBorder="1" applyAlignment="1">
      <alignment horizontal="center" vertical="center" wrapText="1"/>
    </xf>
    <xf numFmtId="9" fontId="3" fillId="6" borderId="26" xfId="0" applyNumberFormat="1" applyFont="1" applyFill="1" applyBorder="1" applyAlignment="1">
      <alignment horizontal="center" vertical="center" wrapText="1"/>
    </xf>
    <xf numFmtId="0" fontId="3" fillId="5" borderId="16" xfId="0" applyNumberFormat="1" applyFont="1" applyFill="1" applyBorder="1" applyAlignment="1">
      <alignment horizontal="center" vertical="center" wrapText="1"/>
    </xf>
    <xf numFmtId="0" fontId="3" fillId="5" borderId="25" xfId="0" applyNumberFormat="1" applyFont="1" applyFill="1" applyBorder="1" applyAlignment="1">
      <alignment horizontal="center" vertical="center" wrapText="1"/>
    </xf>
    <xf numFmtId="0" fontId="3" fillId="2" borderId="64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164" fontId="8" fillId="0" borderId="30" xfId="0" applyNumberFormat="1" applyFont="1" applyBorder="1" applyProtection="1">
      <protection hidden="1"/>
    </xf>
    <xf numFmtId="164" fontId="8" fillId="0" borderId="31" xfId="0" applyNumberFormat="1" applyFont="1" applyBorder="1" applyProtection="1">
      <protection hidden="1"/>
    </xf>
    <xf numFmtId="164" fontId="8" fillId="0" borderId="32" xfId="0" applyNumberFormat="1" applyFont="1" applyBorder="1" applyProtection="1">
      <protection hidden="1"/>
    </xf>
    <xf numFmtId="164" fontId="7" fillId="0" borderId="30" xfId="0" applyNumberFormat="1" applyFont="1" applyBorder="1" applyAlignment="1" applyProtection="1">
      <alignment horizontal="center" vertical="center" wrapText="1"/>
      <protection hidden="1"/>
    </xf>
    <xf numFmtId="164" fontId="7" fillId="0" borderId="31" xfId="0" applyNumberFormat="1" applyFont="1" applyBorder="1" applyAlignment="1" applyProtection="1">
      <alignment horizontal="center" vertical="center" wrapText="1"/>
      <protection hidden="1"/>
    </xf>
    <xf numFmtId="164" fontId="7" fillId="0" borderId="32" xfId="0" applyNumberFormat="1" applyFont="1" applyBorder="1" applyAlignment="1" applyProtection="1">
      <alignment horizontal="center" vertical="center" wrapText="1"/>
      <protection hidden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11" borderId="30" xfId="0" applyNumberFormat="1" applyFont="1" applyFill="1" applyBorder="1" applyAlignment="1">
      <alignment horizontal="center" vertical="center" wrapText="1"/>
    </xf>
    <xf numFmtId="0" fontId="3" fillId="11" borderId="31" xfId="0" applyNumberFormat="1" applyFont="1" applyFill="1" applyBorder="1" applyAlignment="1">
      <alignment horizontal="center" vertical="center" wrapText="1"/>
    </xf>
    <xf numFmtId="0" fontId="3" fillId="11" borderId="3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wrapText="1"/>
    </xf>
    <xf numFmtId="0" fontId="4" fillId="4" borderId="11" xfId="0" applyNumberFormat="1" applyFont="1" applyFill="1" applyBorder="1" applyAlignment="1">
      <alignment horizontal="center" wrapText="1"/>
    </xf>
    <xf numFmtId="0" fontId="4" fillId="4" borderId="21" xfId="0" applyNumberFormat="1" applyFont="1" applyFill="1" applyBorder="1" applyAlignment="1">
      <alignment horizontal="center" wrapText="1"/>
    </xf>
    <xf numFmtId="0" fontId="4" fillId="0" borderId="2" xfId="0" applyNumberFormat="1" applyFont="1" applyBorder="1" applyAlignment="1">
      <alignment horizontal="center" wrapText="1"/>
    </xf>
    <xf numFmtId="0" fontId="4" fillId="0" borderId="11" xfId="0" applyNumberFormat="1" applyFont="1" applyBorder="1" applyAlignment="1">
      <alignment horizontal="center" wrapText="1"/>
    </xf>
    <xf numFmtId="0" fontId="4" fillId="0" borderId="21" xfId="0" applyNumberFormat="1" applyFont="1" applyBorder="1" applyAlignment="1">
      <alignment horizont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28" xfId="0" applyNumberFormat="1" applyFont="1" applyFill="1" applyBorder="1" applyAlignment="1">
      <alignment horizontal="center" vertical="center" wrapText="1"/>
    </xf>
    <xf numFmtId="9" fontId="3" fillId="10" borderId="18" xfId="0" applyNumberFormat="1" applyFont="1" applyFill="1" applyBorder="1" applyAlignment="1">
      <alignment horizontal="center" vertical="center" wrapText="1"/>
    </xf>
    <xf numFmtId="9" fontId="3" fillId="10" borderId="27" xfId="0" applyNumberFormat="1" applyFont="1" applyFill="1" applyBorder="1" applyAlignment="1">
      <alignment horizontal="center" vertical="center" wrapText="1"/>
    </xf>
    <xf numFmtId="9" fontId="3" fillId="9" borderId="17" xfId="0" applyNumberFormat="1" applyFont="1" applyFill="1" applyBorder="1" applyAlignment="1">
      <alignment horizontal="center" vertical="center" wrapText="1"/>
    </xf>
    <xf numFmtId="9" fontId="3" fillId="9" borderId="26" xfId="0" applyNumberFormat="1" applyFont="1" applyFill="1" applyBorder="1" applyAlignment="1">
      <alignment horizontal="center" vertical="center" wrapText="1"/>
    </xf>
    <xf numFmtId="9" fontId="3" fillId="8" borderId="17" xfId="0" applyNumberFormat="1" applyFont="1" applyFill="1" applyBorder="1" applyAlignment="1">
      <alignment horizontal="center" vertical="center" wrapText="1"/>
    </xf>
    <xf numFmtId="9" fontId="3" fillId="8" borderId="26" xfId="0" applyNumberFormat="1" applyFont="1" applyFill="1" applyBorder="1" applyAlignment="1">
      <alignment horizontal="center" vertical="center" wrapText="1"/>
    </xf>
    <xf numFmtId="9" fontId="3" fillId="7" borderId="17" xfId="0" applyNumberFormat="1" applyFont="1" applyFill="1" applyBorder="1" applyAlignment="1">
      <alignment horizontal="center" vertical="center" wrapText="1"/>
    </xf>
    <xf numFmtId="9" fontId="3" fillId="7" borderId="2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1"/>
  <sheetViews>
    <sheetView tabSelected="1" workbookViewId="0">
      <pane ySplit="4" topLeftCell="A76" activePane="bottomLeft" state="frozen"/>
      <selection pane="bottomLeft" activeCell="G86" sqref="G86"/>
    </sheetView>
  </sheetViews>
  <sheetFormatPr defaultRowHeight="13.2"/>
  <cols>
    <col min="1" max="1" width="8.5546875" customWidth="1"/>
    <col min="2" max="2" width="8.33203125" customWidth="1"/>
    <col min="3" max="3" width="11" customWidth="1"/>
    <col min="4" max="4" width="14.5546875" customWidth="1"/>
    <col min="5" max="5" width="11.33203125" customWidth="1"/>
    <col min="6" max="6" width="12.88671875" customWidth="1"/>
    <col min="7" max="7" width="12.44140625" customWidth="1"/>
    <col min="8" max="8" width="13.33203125" customWidth="1"/>
    <col min="9" max="9" width="16.109375" customWidth="1"/>
    <col min="10" max="10" width="13.109375" customWidth="1"/>
    <col min="11" max="11" width="10.33203125" customWidth="1"/>
    <col min="12" max="13" width="11.109375" customWidth="1"/>
    <col min="14" max="14" width="11.6640625" customWidth="1"/>
    <col min="15" max="15" width="10.5546875" customWidth="1"/>
    <col min="16" max="16" width="10.33203125" customWidth="1"/>
    <col min="17" max="17" width="7.88671875" bestFit="1" customWidth="1"/>
    <col min="18" max="18" width="9.88671875" style="1" customWidth="1"/>
    <col min="19" max="19" width="7.88671875" bestFit="1" customWidth="1"/>
    <col min="20" max="20" width="11.44140625" customWidth="1"/>
  </cols>
  <sheetData>
    <row r="1" spans="1:20" ht="13.8" thickBo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</row>
    <row r="2" spans="1:20" ht="12.75" customHeight="1">
      <c r="A2" s="140" t="s">
        <v>1</v>
      </c>
      <c r="B2" s="124" t="s">
        <v>2</v>
      </c>
      <c r="C2" s="124" t="s">
        <v>3</v>
      </c>
      <c r="D2" s="121" t="s">
        <v>4</v>
      </c>
      <c r="E2" s="146" t="s">
        <v>5</v>
      </c>
      <c r="F2" s="144"/>
      <c r="G2" s="144"/>
      <c r="H2" s="144"/>
      <c r="I2" s="144"/>
      <c r="J2" s="147"/>
      <c r="K2" s="143" t="s">
        <v>6</v>
      </c>
      <c r="L2" s="144"/>
      <c r="M2" s="144"/>
      <c r="N2" s="144"/>
      <c r="O2" s="144"/>
      <c r="P2" s="145"/>
      <c r="Q2" s="157" t="s">
        <v>7</v>
      </c>
      <c r="R2" s="154" t="s">
        <v>8</v>
      </c>
      <c r="S2" s="151" t="s">
        <v>9</v>
      </c>
      <c r="T2" s="148" t="s">
        <v>10</v>
      </c>
    </row>
    <row r="3" spans="1:20" ht="21" thickBot="1">
      <c r="A3" s="141"/>
      <c r="B3" s="125"/>
      <c r="C3" s="125"/>
      <c r="D3" s="122"/>
      <c r="E3" s="44" t="s">
        <v>11</v>
      </c>
      <c r="F3" s="45" t="s">
        <v>12</v>
      </c>
      <c r="G3" s="46" t="s">
        <v>13</v>
      </c>
      <c r="H3" s="47" t="s">
        <v>14</v>
      </c>
      <c r="I3" s="45" t="s">
        <v>15</v>
      </c>
      <c r="J3" s="48" t="s">
        <v>16</v>
      </c>
      <c r="K3" s="119" t="s">
        <v>17</v>
      </c>
      <c r="L3" s="117" t="s">
        <v>18</v>
      </c>
      <c r="M3" s="166" t="s">
        <v>19</v>
      </c>
      <c r="N3" s="164" t="s">
        <v>20</v>
      </c>
      <c r="O3" s="162" t="s">
        <v>21</v>
      </c>
      <c r="P3" s="160" t="s">
        <v>22</v>
      </c>
      <c r="Q3" s="158"/>
      <c r="R3" s="155"/>
      <c r="S3" s="152"/>
      <c r="T3" s="149"/>
    </row>
    <row r="4" spans="1:20" ht="13.8" thickBot="1">
      <c r="A4" s="142"/>
      <c r="B4" s="126"/>
      <c r="C4" s="126"/>
      <c r="D4" s="123"/>
      <c r="E4" s="100">
        <v>0.03</v>
      </c>
      <c r="F4" s="101">
        <v>0.04</v>
      </c>
      <c r="G4" s="102">
        <v>0.06</v>
      </c>
      <c r="H4" s="103">
        <v>0.1</v>
      </c>
      <c r="I4" s="104">
        <v>0.2</v>
      </c>
      <c r="J4" s="105">
        <v>1</v>
      </c>
      <c r="K4" s="120"/>
      <c r="L4" s="118"/>
      <c r="M4" s="167"/>
      <c r="N4" s="165"/>
      <c r="O4" s="163"/>
      <c r="P4" s="161"/>
      <c r="Q4" s="159"/>
      <c r="R4" s="156"/>
      <c r="S4" s="153"/>
      <c r="T4" s="150"/>
    </row>
    <row r="5" spans="1:20" ht="13.8" thickBot="1">
      <c r="A5" s="2"/>
      <c r="B5" s="3"/>
      <c r="C5" s="4"/>
      <c r="D5" s="5"/>
      <c r="E5" s="136" t="s">
        <v>23</v>
      </c>
      <c r="F5" s="137"/>
      <c r="G5" s="137"/>
      <c r="H5" s="137"/>
      <c r="I5" s="137"/>
      <c r="J5" s="138"/>
      <c r="K5" s="133"/>
      <c r="L5" s="134"/>
      <c r="M5" s="134"/>
      <c r="N5" s="134"/>
      <c r="O5" s="134"/>
      <c r="P5" s="135"/>
      <c r="Q5" s="6"/>
      <c r="R5" s="6"/>
      <c r="S5" s="7"/>
      <c r="T5" s="8"/>
    </row>
    <row r="6" spans="1:20">
      <c r="A6" s="9"/>
      <c r="B6" s="106">
        <v>2023</v>
      </c>
      <c r="C6" s="18">
        <f>A6</f>
        <v>0</v>
      </c>
      <c r="D6" s="16">
        <f t="shared" ref="D6:D37" si="0">C6-K6-L6-P6-Q6-M6-N6-O6</f>
        <v>0</v>
      </c>
      <c r="E6" s="17">
        <f t="shared" ref="E6:J6" si="1">K6</f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  <c r="I6" s="18">
        <f t="shared" si="1"/>
        <v>0</v>
      </c>
      <c r="J6" s="19">
        <f t="shared" si="1"/>
        <v>0</v>
      </c>
      <c r="K6" s="53"/>
      <c r="L6" s="54"/>
      <c r="M6" s="54"/>
      <c r="N6" s="54"/>
      <c r="O6" s="54"/>
      <c r="P6" s="55"/>
      <c r="Q6" s="53"/>
      <c r="R6" s="56"/>
      <c r="S6" s="57"/>
      <c r="T6" s="58"/>
    </row>
    <row r="7" spans="1:20">
      <c r="A7" s="49"/>
      <c r="B7" s="13" t="s">
        <v>24</v>
      </c>
      <c r="C7" s="18">
        <f t="shared" ref="C7:C38" si="2">IF(D6&lt;0, A7+D6-D6, A7+D6)</f>
        <v>0</v>
      </c>
      <c r="D7" s="16">
        <f t="shared" si="0"/>
        <v>0</v>
      </c>
      <c r="E7" s="20">
        <f t="shared" ref="E7:E15" si="3">IF(AND(D7&lt;0, R7=1), E6+E6*$E$4/12+K7+D7, E6+E6*$E$4/12+K7)</f>
        <v>0</v>
      </c>
      <c r="F7" s="21">
        <f t="shared" ref="F7:F15" si="4">IF(AND(D7&lt;0, R7=2), F6+F6*$F$4/12+L7+D7, F6+F6*$F$4/12+L7)</f>
        <v>0</v>
      </c>
      <c r="G7" s="21">
        <f t="shared" ref="G7:G15" si="5">IF(AND(D7&lt;0, R7=3), G6+G6*$G$4/12+M7+D7, G6+G6*$G$4/12+M7)</f>
        <v>0</v>
      </c>
      <c r="H7" s="21">
        <f t="shared" ref="H7:H15" si="6">IF(AND(D7&lt;0, R7=4), H6+H6*$H$4/12+N7+D7, H6+H6*$H$4/12+N7)</f>
        <v>0</v>
      </c>
      <c r="I7" s="21">
        <f t="shared" ref="I7:I15" si="7">IF(AND(D7&lt;0, R7=5), I6+I6*$I$4/12+O7+D7, I6+I6*$I$4/12+O7)</f>
        <v>0</v>
      </c>
      <c r="J7" s="22">
        <f t="shared" ref="J7:J38" si="8">IF(S7=1, IF(R7=6, J6+(J6+P7)*$J$4-Q7, J6+(J6+P7)*$J$4), J6+P7)</f>
        <v>0</v>
      </c>
      <c r="K7" s="53"/>
      <c r="L7" s="54"/>
      <c r="M7" s="54"/>
      <c r="N7" s="54"/>
      <c r="O7" s="54"/>
      <c r="P7" s="55"/>
      <c r="Q7" s="53"/>
      <c r="R7" s="56"/>
      <c r="S7" s="57"/>
      <c r="T7" s="58"/>
    </row>
    <row r="8" spans="1:20">
      <c r="A8" s="49"/>
      <c r="B8" s="13" t="s">
        <v>25</v>
      </c>
      <c r="C8" s="18">
        <f t="shared" si="2"/>
        <v>0</v>
      </c>
      <c r="D8" s="16">
        <f t="shared" si="0"/>
        <v>0</v>
      </c>
      <c r="E8" s="20">
        <f t="shared" si="3"/>
        <v>0</v>
      </c>
      <c r="F8" s="21">
        <f t="shared" si="4"/>
        <v>0</v>
      </c>
      <c r="G8" s="21">
        <f t="shared" si="5"/>
        <v>0</v>
      </c>
      <c r="H8" s="21">
        <f t="shared" si="6"/>
        <v>0</v>
      </c>
      <c r="I8" s="21">
        <f t="shared" si="7"/>
        <v>0</v>
      </c>
      <c r="J8" s="22">
        <f t="shared" si="8"/>
        <v>0</v>
      </c>
      <c r="K8" s="53"/>
      <c r="L8" s="54"/>
      <c r="M8" s="54"/>
      <c r="N8" s="54"/>
      <c r="O8" s="54"/>
      <c r="P8" s="55"/>
      <c r="Q8" s="53"/>
      <c r="R8" s="56"/>
      <c r="S8" s="57"/>
      <c r="T8" s="58"/>
    </row>
    <row r="9" spans="1:20">
      <c r="A9" s="49"/>
      <c r="B9" s="13" t="s">
        <v>26</v>
      </c>
      <c r="C9" s="18">
        <f t="shared" si="2"/>
        <v>0</v>
      </c>
      <c r="D9" s="16">
        <f t="shared" si="0"/>
        <v>0</v>
      </c>
      <c r="E9" s="20">
        <f t="shared" si="3"/>
        <v>0</v>
      </c>
      <c r="F9" s="21">
        <f t="shared" si="4"/>
        <v>0</v>
      </c>
      <c r="G9" s="21">
        <f t="shared" si="5"/>
        <v>0</v>
      </c>
      <c r="H9" s="21">
        <f t="shared" si="6"/>
        <v>0</v>
      </c>
      <c r="I9" s="21">
        <f t="shared" si="7"/>
        <v>0</v>
      </c>
      <c r="J9" s="22">
        <f t="shared" si="8"/>
        <v>0</v>
      </c>
      <c r="K9" s="53"/>
      <c r="L9" s="54"/>
      <c r="M9" s="54"/>
      <c r="N9" s="54"/>
      <c r="O9" s="54"/>
      <c r="P9" s="55"/>
      <c r="Q9" s="53"/>
      <c r="R9" s="56"/>
      <c r="S9" s="57"/>
      <c r="T9" s="58"/>
    </row>
    <row r="10" spans="1:20">
      <c r="A10" s="49"/>
      <c r="B10" s="13" t="s">
        <v>27</v>
      </c>
      <c r="C10" s="18">
        <f t="shared" si="2"/>
        <v>0</v>
      </c>
      <c r="D10" s="16">
        <f t="shared" si="0"/>
        <v>0</v>
      </c>
      <c r="E10" s="20">
        <f t="shared" si="3"/>
        <v>0</v>
      </c>
      <c r="F10" s="21">
        <f t="shared" si="4"/>
        <v>0</v>
      </c>
      <c r="G10" s="21">
        <f t="shared" si="5"/>
        <v>0</v>
      </c>
      <c r="H10" s="21">
        <f t="shared" si="6"/>
        <v>0</v>
      </c>
      <c r="I10" s="21">
        <f t="shared" si="7"/>
        <v>0</v>
      </c>
      <c r="J10" s="22">
        <f t="shared" si="8"/>
        <v>0</v>
      </c>
      <c r="K10" s="53"/>
      <c r="L10" s="54"/>
      <c r="M10" s="54"/>
      <c r="N10" s="54"/>
      <c r="O10" s="54"/>
      <c r="P10" s="55"/>
      <c r="Q10" s="53"/>
      <c r="R10" s="56"/>
      <c r="S10" s="57"/>
      <c r="T10" s="58"/>
    </row>
    <row r="11" spans="1:20">
      <c r="A11" s="49"/>
      <c r="B11" s="13" t="s">
        <v>28</v>
      </c>
      <c r="C11" s="18">
        <f t="shared" si="2"/>
        <v>0</v>
      </c>
      <c r="D11" s="16">
        <f t="shared" si="0"/>
        <v>0</v>
      </c>
      <c r="E11" s="20">
        <f t="shared" si="3"/>
        <v>0</v>
      </c>
      <c r="F11" s="21">
        <f t="shared" si="4"/>
        <v>0</v>
      </c>
      <c r="G11" s="21">
        <f t="shared" si="5"/>
        <v>0</v>
      </c>
      <c r="H11" s="21">
        <f t="shared" si="6"/>
        <v>0</v>
      </c>
      <c r="I11" s="21">
        <f t="shared" si="7"/>
        <v>0</v>
      </c>
      <c r="J11" s="22">
        <f t="shared" si="8"/>
        <v>0</v>
      </c>
      <c r="K11" s="53"/>
      <c r="L11" s="54"/>
      <c r="M11" s="54"/>
      <c r="N11" s="54"/>
      <c r="O11" s="54"/>
      <c r="P11" s="55"/>
      <c r="Q11" s="53"/>
      <c r="R11" s="56"/>
      <c r="S11" s="57"/>
      <c r="T11" s="58"/>
    </row>
    <row r="12" spans="1:20">
      <c r="A12" s="49"/>
      <c r="B12" s="13" t="s">
        <v>29</v>
      </c>
      <c r="C12" s="18">
        <f t="shared" si="2"/>
        <v>0</v>
      </c>
      <c r="D12" s="16">
        <f t="shared" si="0"/>
        <v>0</v>
      </c>
      <c r="E12" s="20">
        <f t="shared" si="3"/>
        <v>0</v>
      </c>
      <c r="F12" s="21">
        <f t="shared" si="4"/>
        <v>0</v>
      </c>
      <c r="G12" s="21">
        <f t="shared" si="5"/>
        <v>0</v>
      </c>
      <c r="H12" s="21">
        <f t="shared" si="6"/>
        <v>0</v>
      </c>
      <c r="I12" s="21">
        <f t="shared" si="7"/>
        <v>0</v>
      </c>
      <c r="J12" s="22">
        <f t="shared" si="8"/>
        <v>0</v>
      </c>
      <c r="K12" s="53"/>
      <c r="L12" s="54"/>
      <c r="M12" s="54"/>
      <c r="N12" s="54"/>
      <c r="O12" s="54"/>
      <c r="P12" s="55"/>
      <c r="Q12" s="53"/>
      <c r="R12" s="56"/>
      <c r="S12" s="57"/>
      <c r="T12" s="58"/>
    </row>
    <row r="13" spans="1:20">
      <c r="A13" s="49"/>
      <c r="B13" s="13" t="s">
        <v>30</v>
      </c>
      <c r="C13" s="18">
        <f t="shared" si="2"/>
        <v>0</v>
      </c>
      <c r="D13" s="16">
        <f t="shared" si="0"/>
        <v>0</v>
      </c>
      <c r="E13" s="20">
        <f t="shared" si="3"/>
        <v>0</v>
      </c>
      <c r="F13" s="21">
        <f t="shared" si="4"/>
        <v>0</v>
      </c>
      <c r="G13" s="21">
        <f t="shared" si="5"/>
        <v>0</v>
      </c>
      <c r="H13" s="21">
        <f t="shared" si="6"/>
        <v>0</v>
      </c>
      <c r="I13" s="21">
        <f t="shared" si="7"/>
        <v>0</v>
      </c>
      <c r="J13" s="22">
        <f t="shared" si="8"/>
        <v>0</v>
      </c>
      <c r="K13" s="53"/>
      <c r="L13" s="54"/>
      <c r="M13" s="54"/>
      <c r="N13" s="54"/>
      <c r="O13" s="54"/>
      <c r="P13" s="55"/>
      <c r="Q13" s="53"/>
      <c r="R13" s="56"/>
      <c r="S13" s="57"/>
      <c r="T13" s="58"/>
    </row>
    <row r="14" spans="1:20">
      <c r="A14" s="49"/>
      <c r="B14" s="13" t="s">
        <v>31</v>
      </c>
      <c r="C14" s="18">
        <f t="shared" si="2"/>
        <v>0</v>
      </c>
      <c r="D14" s="16">
        <f t="shared" si="0"/>
        <v>0</v>
      </c>
      <c r="E14" s="20">
        <f t="shared" si="3"/>
        <v>0</v>
      </c>
      <c r="F14" s="21">
        <f t="shared" si="4"/>
        <v>0</v>
      </c>
      <c r="G14" s="21">
        <f t="shared" si="5"/>
        <v>0</v>
      </c>
      <c r="H14" s="21">
        <f t="shared" si="6"/>
        <v>0</v>
      </c>
      <c r="I14" s="21">
        <f t="shared" si="7"/>
        <v>0</v>
      </c>
      <c r="J14" s="22">
        <f t="shared" si="8"/>
        <v>0</v>
      </c>
      <c r="K14" s="53"/>
      <c r="L14" s="54"/>
      <c r="M14" s="54"/>
      <c r="N14" s="54"/>
      <c r="O14" s="54"/>
      <c r="P14" s="55"/>
      <c r="Q14" s="53"/>
      <c r="R14" s="56"/>
      <c r="S14" s="57"/>
      <c r="T14" s="58"/>
    </row>
    <row r="15" spans="1:20">
      <c r="A15" s="49"/>
      <c r="B15" s="13" t="s">
        <v>32</v>
      </c>
      <c r="C15" s="18">
        <f t="shared" si="2"/>
        <v>0</v>
      </c>
      <c r="D15" s="16">
        <f t="shared" si="0"/>
        <v>0</v>
      </c>
      <c r="E15" s="20">
        <f t="shared" si="3"/>
        <v>0</v>
      </c>
      <c r="F15" s="21">
        <f t="shared" si="4"/>
        <v>0</v>
      </c>
      <c r="G15" s="21">
        <f t="shared" si="5"/>
        <v>0</v>
      </c>
      <c r="H15" s="21">
        <f t="shared" si="6"/>
        <v>0</v>
      </c>
      <c r="I15" s="21">
        <f t="shared" si="7"/>
        <v>0</v>
      </c>
      <c r="J15" s="22">
        <f t="shared" si="8"/>
        <v>0</v>
      </c>
      <c r="K15" s="59"/>
      <c r="L15" s="54"/>
      <c r="M15" s="54"/>
      <c r="N15" s="54"/>
      <c r="O15" s="54"/>
      <c r="P15" s="55"/>
      <c r="Q15" s="53"/>
      <c r="R15" s="56"/>
      <c r="S15" s="57"/>
      <c r="T15" s="58"/>
    </row>
    <row r="16" spans="1:20">
      <c r="A16" s="49"/>
      <c r="B16" s="13" t="s">
        <v>33</v>
      </c>
      <c r="C16" s="18">
        <f t="shared" si="2"/>
        <v>0</v>
      </c>
      <c r="D16" s="16">
        <f t="shared" si="0"/>
        <v>0</v>
      </c>
      <c r="E16" s="20">
        <f>IF(AND(D16&lt;0, R16=1), E15+E15*E4/12+K16+D16, E15+E15*E4/12+K16)</f>
        <v>0</v>
      </c>
      <c r="F16" s="21">
        <f>IF(AND(D16&lt;0, R16=2), F15+F15*F4/12+L16+D16, F15+F15*F4/12+L16)</f>
        <v>0</v>
      </c>
      <c r="G16" s="21">
        <f>IF(AND(D16&lt;0, R16=3), G15+G15*G4/12+M16+D16, G15+G15*G4/12+M16)</f>
        <v>0</v>
      </c>
      <c r="H16" s="21">
        <f>IF(AND(D16&lt;0, R16=4), H15+H15*H4/12+N16+D16, H15+H15*H4/12+N16)</f>
        <v>0</v>
      </c>
      <c r="I16" s="21">
        <f>IF(AND(D16&lt;0, R16=5), I15+I15*I4/12+O16+D16, I15+I15*I4/12+O16)</f>
        <v>0</v>
      </c>
      <c r="J16" s="22">
        <f t="shared" si="8"/>
        <v>0</v>
      </c>
      <c r="K16" s="59"/>
      <c r="L16" s="54"/>
      <c r="M16" s="54"/>
      <c r="N16" s="54"/>
      <c r="O16" s="54"/>
      <c r="P16" s="55"/>
      <c r="Q16" s="53"/>
      <c r="R16" s="56"/>
      <c r="S16" s="57"/>
      <c r="T16" s="58"/>
    </row>
    <row r="17" spans="1:20">
      <c r="A17" s="49"/>
      <c r="B17" s="13" t="s">
        <v>34</v>
      </c>
      <c r="C17" s="18">
        <f t="shared" si="2"/>
        <v>0</v>
      </c>
      <c r="D17" s="16">
        <f t="shared" si="0"/>
        <v>0</v>
      </c>
      <c r="E17" s="20">
        <f>IF(AND(D17&lt;0, R17=1), E16+E16*E4/12+K17+D17, E16+E16*E4/12+K17)</f>
        <v>0</v>
      </c>
      <c r="F17" s="21">
        <f>IF(AND(D17&lt;0, R17=2), F16+F16*F4/12+L17+D17, F16+F16*F4/12+L17)</f>
        <v>0</v>
      </c>
      <c r="G17" s="21">
        <f>IF(AND(D17&lt;0, R17=3), G16+G16*G4/12+M17+D17, G16+G16*G4/12+M17)</f>
        <v>0</v>
      </c>
      <c r="H17" s="21">
        <f>IF(AND(D17&lt;0, R17=4), H16+H16*H4/12+N17+D17, H16+H16*H4/12+N17)</f>
        <v>0</v>
      </c>
      <c r="I17" s="21">
        <f>IF(AND(D17&lt;0, R17=5), I16+I16*I4/12+O17+D17, I16+I16*I4/12+O17)</f>
        <v>0</v>
      </c>
      <c r="J17" s="22">
        <f t="shared" si="8"/>
        <v>0</v>
      </c>
      <c r="K17" s="59"/>
      <c r="L17" s="54"/>
      <c r="M17" s="54"/>
      <c r="N17" s="54"/>
      <c r="O17" s="54"/>
      <c r="P17" s="55"/>
      <c r="Q17" s="53"/>
      <c r="R17" s="56"/>
      <c r="S17" s="57"/>
      <c r="T17" s="58"/>
    </row>
    <row r="18" spans="1:20" ht="13.8" thickBot="1">
      <c r="A18" s="50"/>
      <c r="B18" s="14" t="s">
        <v>35</v>
      </c>
      <c r="C18" s="116">
        <f t="shared" si="2"/>
        <v>0</v>
      </c>
      <c r="D18" s="23">
        <f t="shared" si="0"/>
        <v>0</v>
      </c>
      <c r="E18" s="24">
        <f>IF(AND(D18&lt;0, R18=1), E17+E17*E4/12+K18+D18, E17+E17*E4/12+K18)</f>
        <v>0</v>
      </c>
      <c r="F18" s="25">
        <f>IF(AND(D18&lt;0, R18=2), F17+F17*F4/12+L18+D18, F17+F17*F4/12+L18)</f>
        <v>0</v>
      </c>
      <c r="G18" s="25">
        <f>IF(AND(D18&lt;0, R18=3), G17+G17*G4/12+M18+D18, G17+G17*G4/12+M18)</f>
        <v>0</v>
      </c>
      <c r="H18" s="25">
        <f>IF(AND(D18&lt;0, R18=4), H17+H17*H4/12+N18+D18, H17+H17*H4/12+N18)</f>
        <v>0</v>
      </c>
      <c r="I18" s="25">
        <f>IF(AND(D18&lt;0, R18=5), I17+I17*I4/12+O18+D18, I17+I17*I4/12+O18)</f>
        <v>0</v>
      </c>
      <c r="J18" s="26">
        <f t="shared" si="8"/>
        <v>0</v>
      </c>
      <c r="K18" s="60"/>
      <c r="L18" s="61"/>
      <c r="M18" s="62"/>
      <c r="N18" s="62"/>
      <c r="O18" s="62"/>
      <c r="P18" s="63"/>
      <c r="Q18" s="60"/>
      <c r="R18" s="64"/>
      <c r="S18" s="65"/>
      <c r="T18" s="66"/>
    </row>
    <row r="19" spans="1:20">
      <c r="A19" s="51"/>
      <c r="B19" s="15" t="str">
        <f>CONCATENATE("1 кв ",$B$6+1)</f>
        <v>1 кв 2024</v>
      </c>
      <c r="C19" s="18">
        <f t="shared" si="2"/>
        <v>0</v>
      </c>
      <c r="D19" s="27">
        <f t="shared" si="0"/>
        <v>0</v>
      </c>
      <c r="E19" s="28">
        <f>IF(AND(D19&lt;0, R19=1), E18+E18*$E$4/4+K19+D19, E18+E18*E4/4+K19)</f>
        <v>0</v>
      </c>
      <c r="F19" s="29">
        <f t="shared" ref="F19:F50" si="9">IF(AND(D19&lt;0, R19=2), F18*(1+$F$4/12)^3+L19+D19, F18*(1+$F$4/12)^3+L19)</f>
        <v>0</v>
      </c>
      <c r="G19" s="21">
        <f t="shared" ref="G19:G50" si="10">IF(AND(D19&lt;0, R19=3), G18*(1+$G$4/12)^3+M19+D19, G18*(1+$G$4/12)^3+M19)</f>
        <v>0</v>
      </c>
      <c r="H19" s="21">
        <f t="shared" ref="H19:H50" si="11">IF(AND(D19&lt;0, R19=4), H18*(1+$H$4/12)^3+N19+D19, H18*(1+$H$4/12)^3+N19)</f>
        <v>0</v>
      </c>
      <c r="I19" s="21">
        <f t="shared" ref="I19:I50" si="12">IF(AND(D19&lt;0, R19=5), I18*(1+$I$4/12)^3+O19+D19, I18*(1+$I$4/12)^3+O19)</f>
        <v>0</v>
      </c>
      <c r="J19" s="19">
        <f t="shared" si="8"/>
        <v>0</v>
      </c>
      <c r="K19" s="67"/>
      <c r="L19" s="68"/>
      <c r="M19" s="68"/>
      <c r="N19" s="68"/>
      <c r="O19" s="68"/>
      <c r="P19" s="69"/>
      <c r="Q19" s="70"/>
      <c r="R19" s="71"/>
      <c r="S19" s="72"/>
      <c r="T19" s="73"/>
    </row>
    <row r="20" spans="1:20">
      <c r="A20" s="49"/>
      <c r="B20" s="15" t="str">
        <f>CONCATENATE("2 кв ",$B$6+1)</f>
        <v>2 кв 2024</v>
      </c>
      <c r="C20" s="21">
        <f t="shared" si="2"/>
        <v>0</v>
      </c>
      <c r="D20" s="16">
        <f t="shared" si="0"/>
        <v>0</v>
      </c>
      <c r="E20" s="20">
        <f t="shared" ref="E20:E51" si="13">IF(AND(D20&lt;0, R20=1), E19+E19*$E$4/4+K20+D20, E19+E19*$E$4/4+K20)</f>
        <v>0</v>
      </c>
      <c r="F20" s="21">
        <f t="shared" si="9"/>
        <v>0</v>
      </c>
      <c r="G20" s="21">
        <f t="shared" si="10"/>
        <v>0</v>
      </c>
      <c r="H20" s="21">
        <f t="shared" si="11"/>
        <v>0</v>
      </c>
      <c r="I20" s="21">
        <f t="shared" si="12"/>
        <v>0</v>
      </c>
      <c r="J20" s="22">
        <f t="shared" si="8"/>
        <v>0</v>
      </c>
      <c r="K20" s="53"/>
      <c r="L20" s="54"/>
      <c r="M20" s="54"/>
      <c r="N20" s="54"/>
      <c r="O20" s="54"/>
      <c r="P20" s="55"/>
      <c r="Q20" s="49"/>
      <c r="R20" s="74"/>
      <c r="S20" s="57"/>
      <c r="T20" s="58"/>
    </row>
    <row r="21" spans="1:20">
      <c r="A21" s="49"/>
      <c r="B21" s="15" t="str">
        <f>CONCATENATE("3 кв ",$B$6+1)</f>
        <v>3 кв 2024</v>
      </c>
      <c r="C21" s="21">
        <f t="shared" si="2"/>
        <v>0</v>
      </c>
      <c r="D21" s="16">
        <f t="shared" si="0"/>
        <v>0</v>
      </c>
      <c r="E21" s="20">
        <f t="shared" si="13"/>
        <v>0</v>
      </c>
      <c r="F21" s="21">
        <f t="shared" si="9"/>
        <v>0</v>
      </c>
      <c r="G21" s="21">
        <f t="shared" si="10"/>
        <v>0</v>
      </c>
      <c r="H21" s="21">
        <f t="shared" si="11"/>
        <v>0</v>
      </c>
      <c r="I21" s="21">
        <f t="shared" si="12"/>
        <v>0</v>
      </c>
      <c r="J21" s="22">
        <f t="shared" si="8"/>
        <v>0</v>
      </c>
      <c r="K21" s="53"/>
      <c r="L21" s="54"/>
      <c r="M21" s="54"/>
      <c r="N21" s="54"/>
      <c r="O21" s="54"/>
      <c r="P21" s="55"/>
      <c r="Q21" s="49"/>
      <c r="R21" s="74"/>
      <c r="S21" s="57"/>
      <c r="T21" s="58"/>
    </row>
    <row r="22" spans="1:20" ht="13.8" thickBot="1">
      <c r="A22" s="52"/>
      <c r="B22" s="15" t="str">
        <f>CONCATENATE("4 кв ",$B$6+1)</f>
        <v>4 кв 2024</v>
      </c>
      <c r="C22" s="32">
        <f t="shared" si="2"/>
        <v>0</v>
      </c>
      <c r="D22" s="30">
        <f t="shared" si="0"/>
        <v>0</v>
      </c>
      <c r="E22" s="31">
        <f t="shared" si="13"/>
        <v>0</v>
      </c>
      <c r="F22" s="32">
        <f t="shared" si="9"/>
        <v>0</v>
      </c>
      <c r="G22" s="32">
        <f t="shared" si="10"/>
        <v>0</v>
      </c>
      <c r="H22" s="32">
        <f t="shared" si="11"/>
        <v>0</v>
      </c>
      <c r="I22" s="32">
        <f t="shared" si="12"/>
        <v>0</v>
      </c>
      <c r="J22" s="33">
        <f t="shared" si="8"/>
        <v>0</v>
      </c>
      <c r="K22" s="75"/>
      <c r="L22" s="76"/>
      <c r="M22" s="76"/>
      <c r="N22" s="76"/>
      <c r="O22" s="76"/>
      <c r="P22" s="77"/>
      <c r="Q22" s="52"/>
      <c r="R22" s="78"/>
      <c r="S22" s="79"/>
      <c r="T22" s="80"/>
    </row>
    <row r="23" spans="1:20" ht="13.8" thickTop="1">
      <c r="A23" s="51"/>
      <c r="B23" s="15" t="str">
        <f>CONCATENATE("1 кв ",$B$6+2)</f>
        <v>1 кв 2025</v>
      </c>
      <c r="C23" s="35">
        <f t="shared" si="2"/>
        <v>0</v>
      </c>
      <c r="D23" s="27">
        <f t="shared" si="0"/>
        <v>0</v>
      </c>
      <c r="E23" s="34">
        <f t="shared" si="13"/>
        <v>0</v>
      </c>
      <c r="F23" s="35">
        <f t="shared" si="9"/>
        <v>0</v>
      </c>
      <c r="G23" s="35">
        <f t="shared" si="10"/>
        <v>0</v>
      </c>
      <c r="H23" s="35">
        <f t="shared" si="11"/>
        <v>0</v>
      </c>
      <c r="I23" s="35">
        <f t="shared" si="12"/>
        <v>0</v>
      </c>
      <c r="J23" s="36">
        <f t="shared" si="8"/>
        <v>0</v>
      </c>
      <c r="K23" s="81"/>
      <c r="L23" s="82"/>
      <c r="M23" s="82"/>
      <c r="N23" s="82"/>
      <c r="O23" s="82"/>
      <c r="P23" s="83"/>
      <c r="Q23" s="84"/>
      <c r="R23" s="85"/>
      <c r="S23" s="86"/>
      <c r="T23" s="87"/>
    </row>
    <row r="24" spans="1:20">
      <c r="A24" s="49"/>
      <c r="B24" s="15" t="str">
        <f>CONCATENATE("2 кв ",$B$6+2)</f>
        <v>2 кв 2025</v>
      </c>
      <c r="C24" s="21">
        <f t="shared" si="2"/>
        <v>0</v>
      </c>
      <c r="D24" s="16">
        <f t="shared" si="0"/>
        <v>0</v>
      </c>
      <c r="E24" s="20">
        <f t="shared" si="13"/>
        <v>0</v>
      </c>
      <c r="F24" s="21">
        <f t="shared" si="9"/>
        <v>0</v>
      </c>
      <c r="G24" s="21">
        <f t="shared" si="10"/>
        <v>0</v>
      </c>
      <c r="H24" s="21">
        <f t="shared" si="11"/>
        <v>0</v>
      </c>
      <c r="I24" s="21">
        <f t="shared" si="12"/>
        <v>0</v>
      </c>
      <c r="J24" s="22">
        <f t="shared" si="8"/>
        <v>0</v>
      </c>
      <c r="K24" s="53"/>
      <c r="L24" s="54"/>
      <c r="M24" s="54"/>
      <c r="N24" s="54"/>
      <c r="O24" s="54"/>
      <c r="P24" s="55"/>
      <c r="Q24" s="49"/>
      <c r="R24" s="74"/>
      <c r="S24" s="57"/>
      <c r="T24" s="58"/>
    </row>
    <row r="25" spans="1:20">
      <c r="A25" s="49"/>
      <c r="B25" s="15" t="str">
        <f>CONCATENATE("3 кв ",$B$6+2)</f>
        <v>3 кв 2025</v>
      </c>
      <c r="C25" s="21">
        <f t="shared" si="2"/>
        <v>0</v>
      </c>
      <c r="D25" s="16">
        <f t="shared" si="0"/>
        <v>0</v>
      </c>
      <c r="E25" s="20">
        <f t="shared" si="13"/>
        <v>0</v>
      </c>
      <c r="F25" s="21">
        <f t="shared" si="9"/>
        <v>0</v>
      </c>
      <c r="G25" s="21">
        <f t="shared" si="10"/>
        <v>0</v>
      </c>
      <c r="H25" s="21">
        <f t="shared" si="11"/>
        <v>0</v>
      </c>
      <c r="I25" s="21">
        <f t="shared" si="12"/>
        <v>0</v>
      </c>
      <c r="J25" s="22">
        <f t="shared" si="8"/>
        <v>0</v>
      </c>
      <c r="K25" s="53"/>
      <c r="L25" s="54"/>
      <c r="M25" s="54"/>
      <c r="N25" s="54"/>
      <c r="O25" s="54"/>
      <c r="P25" s="55"/>
      <c r="Q25" s="49"/>
      <c r="R25" s="74"/>
      <c r="S25" s="57"/>
      <c r="T25" s="58"/>
    </row>
    <row r="26" spans="1:20" ht="13.8" thickBot="1">
      <c r="A26" s="52"/>
      <c r="B26" s="15" t="str">
        <f>CONCATENATE("4 кв ",$B$6+2)</f>
        <v>4 кв 2025</v>
      </c>
      <c r="C26" s="32">
        <f t="shared" si="2"/>
        <v>0</v>
      </c>
      <c r="D26" s="30">
        <f t="shared" si="0"/>
        <v>0</v>
      </c>
      <c r="E26" s="31">
        <f t="shared" si="13"/>
        <v>0</v>
      </c>
      <c r="F26" s="32">
        <f t="shared" si="9"/>
        <v>0</v>
      </c>
      <c r="G26" s="32">
        <f t="shared" si="10"/>
        <v>0</v>
      </c>
      <c r="H26" s="32">
        <f t="shared" si="11"/>
        <v>0</v>
      </c>
      <c r="I26" s="32">
        <f t="shared" si="12"/>
        <v>0</v>
      </c>
      <c r="J26" s="33">
        <f t="shared" si="8"/>
        <v>0</v>
      </c>
      <c r="K26" s="75"/>
      <c r="L26" s="76"/>
      <c r="M26" s="76"/>
      <c r="N26" s="76"/>
      <c r="O26" s="76"/>
      <c r="P26" s="77"/>
      <c r="Q26" s="76"/>
      <c r="R26" s="78"/>
      <c r="S26" s="79"/>
      <c r="T26" s="80"/>
    </row>
    <row r="27" spans="1:20" ht="13.8" thickTop="1">
      <c r="A27" s="51"/>
      <c r="B27" s="15" t="str">
        <f>CONCATENATE("1 кв ",$B$6+3)</f>
        <v>1 кв 2026</v>
      </c>
      <c r="C27" s="35">
        <f t="shared" si="2"/>
        <v>0</v>
      </c>
      <c r="D27" s="27">
        <f t="shared" si="0"/>
        <v>0</v>
      </c>
      <c r="E27" s="34">
        <f t="shared" si="13"/>
        <v>0</v>
      </c>
      <c r="F27" s="35">
        <f t="shared" si="9"/>
        <v>0</v>
      </c>
      <c r="G27" s="35">
        <f t="shared" si="10"/>
        <v>0</v>
      </c>
      <c r="H27" s="35">
        <f t="shared" si="11"/>
        <v>0</v>
      </c>
      <c r="I27" s="35">
        <f t="shared" si="12"/>
        <v>0</v>
      </c>
      <c r="J27" s="36">
        <f t="shared" si="8"/>
        <v>0</v>
      </c>
      <c r="K27" s="88"/>
      <c r="L27" s="82"/>
      <c r="M27" s="82"/>
      <c r="N27" s="82"/>
      <c r="O27" s="82"/>
      <c r="P27" s="83"/>
      <c r="Q27" s="84"/>
      <c r="R27" s="85"/>
      <c r="S27" s="86"/>
      <c r="T27" s="87"/>
    </row>
    <row r="28" spans="1:20">
      <c r="A28" s="49"/>
      <c r="B28" s="15" t="str">
        <f>CONCATENATE("2 кв ",$B$6+3)</f>
        <v>2 кв 2026</v>
      </c>
      <c r="C28" s="21">
        <f t="shared" si="2"/>
        <v>0</v>
      </c>
      <c r="D28" s="16">
        <f t="shared" si="0"/>
        <v>0</v>
      </c>
      <c r="E28" s="20">
        <f t="shared" si="13"/>
        <v>0</v>
      </c>
      <c r="F28" s="21">
        <f t="shared" si="9"/>
        <v>0</v>
      </c>
      <c r="G28" s="21">
        <f t="shared" si="10"/>
        <v>0</v>
      </c>
      <c r="H28" s="21">
        <f t="shared" si="11"/>
        <v>0</v>
      </c>
      <c r="I28" s="21">
        <f t="shared" si="12"/>
        <v>0</v>
      </c>
      <c r="J28" s="22">
        <f t="shared" si="8"/>
        <v>0</v>
      </c>
      <c r="K28" s="53"/>
      <c r="L28" s="54"/>
      <c r="M28" s="54"/>
      <c r="N28" s="54"/>
      <c r="O28" s="54"/>
      <c r="P28" s="55"/>
      <c r="Q28" s="49"/>
      <c r="R28" s="74"/>
      <c r="S28" s="57"/>
      <c r="T28" s="58"/>
    </row>
    <row r="29" spans="1:20">
      <c r="A29" s="49"/>
      <c r="B29" s="15" t="str">
        <f>CONCATENATE("3 кв ",$B$6+3)</f>
        <v>3 кв 2026</v>
      </c>
      <c r="C29" s="21">
        <f t="shared" si="2"/>
        <v>0</v>
      </c>
      <c r="D29" s="16">
        <f t="shared" si="0"/>
        <v>0</v>
      </c>
      <c r="E29" s="20">
        <f t="shared" si="13"/>
        <v>0</v>
      </c>
      <c r="F29" s="21">
        <f t="shared" si="9"/>
        <v>0</v>
      </c>
      <c r="G29" s="21">
        <f t="shared" si="10"/>
        <v>0</v>
      </c>
      <c r="H29" s="21">
        <f t="shared" si="11"/>
        <v>0</v>
      </c>
      <c r="I29" s="21">
        <f t="shared" si="12"/>
        <v>0</v>
      </c>
      <c r="J29" s="22">
        <f t="shared" si="8"/>
        <v>0</v>
      </c>
      <c r="K29" s="53"/>
      <c r="L29" s="54"/>
      <c r="M29" s="54"/>
      <c r="N29" s="54"/>
      <c r="O29" s="54"/>
      <c r="P29" s="55"/>
      <c r="Q29" s="54"/>
      <c r="R29" s="74"/>
      <c r="S29" s="57"/>
      <c r="T29" s="58"/>
    </row>
    <row r="30" spans="1:20" ht="13.8" thickBot="1">
      <c r="A30" s="52"/>
      <c r="B30" s="15" t="str">
        <f>CONCATENATE("4 кв ",$B$6+3)</f>
        <v>4 кв 2026</v>
      </c>
      <c r="C30" s="32">
        <f t="shared" si="2"/>
        <v>0</v>
      </c>
      <c r="D30" s="30">
        <f t="shared" si="0"/>
        <v>0</v>
      </c>
      <c r="E30" s="31">
        <f t="shared" si="13"/>
        <v>0</v>
      </c>
      <c r="F30" s="32">
        <f t="shared" si="9"/>
        <v>0</v>
      </c>
      <c r="G30" s="32">
        <f t="shared" si="10"/>
        <v>0</v>
      </c>
      <c r="H30" s="32">
        <f t="shared" si="11"/>
        <v>0</v>
      </c>
      <c r="I30" s="32">
        <f t="shared" si="12"/>
        <v>0</v>
      </c>
      <c r="J30" s="33">
        <f t="shared" si="8"/>
        <v>0</v>
      </c>
      <c r="K30" s="75"/>
      <c r="L30" s="76"/>
      <c r="M30" s="76"/>
      <c r="N30" s="76"/>
      <c r="O30" s="76"/>
      <c r="P30" s="77"/>
      <c r="Q30" s="52"/>
      <c r="R30" s="78"/>
      <c r="S30" s="79"/>
      <c r="T30" s="80"/>
    </row>
    <row r="31" spans="1:20" ht="13.8" thickTop="1">
      <c r="A31" s="51"/>
      <c r="B31" s="15" t="str">
        <f>CONCATENATE("1 кв ",$B$6+4)</f>
        <v>1 кв 2027</v>
      </c>
      <c r="C31" s="35">
        <f t="shared" si="2"/>
        <v>0</v>
      </c>
      <c r="D31" s="27">
        <f t="shared" si="0"/>
        <v>0</v>
      </c>
      <c r="E31" s="34">
        <f t="shared" si="13"/>
        <v>0</v>
      </c>
      <c r="F31" s="35">
        <f t="shared" si="9"/>
        <v>0</v>
      </c>
      <c r="G31" s="35">
        <f t="shared" si="10"/>
        <v>0</v>
      </c>
      <c r="H31" s="35">
        <f t="shared" si="11"/>
        <v>0</v>
      </c>
      <c r="I31" s="35">
        <f t="shared" si="12"/>
        <v>0</v>
      </c>
      <c r="J31" s="37">
        <f t="shared" si="8"/>
        <v>0</v>
      </c>
      <c r="K31" s="89"/>
      <c r="L31" s="82"/>
      <c r="M31" s="82"/>
      <c r="N31" s="82"/>
      <c r="O31" s="82"/>
      <c r="P31" s="83"/>
      <c r="Q31" s="84"/>
      <c r="R31" s="85"/>
      <c r="S31" s="86"/>
      <c r="T31" s="87"/>
    </row>
    <row r="32" spans="1:20">
      <c r="A32" s="49"/>
      <c r="B32" s="15" t="str">
        <f>CONCATENATE("2 кв ",$B$6+4)</f>
        <v>2 кв 2027</v>
      </c>
      <c r="C32" s="21">
        <f t="shared" si="2"/>
        <v>0</v>
      </c>
      <c r="D32" s="16">
        <f t="shared" si="0"/>
        <v>0</v>
      </c>
      <c r="E32" s="20">
        <f t="shared" si="13"/>
        <v>0</v>
      </c>
      <c r="F32" s="21">
        <f t="shared" si="9"/>
        <v>0</v>
      </c>
      <c r="G32" s="21">
        <f t="shared" si="10"/>
        <v>0</v>
      </c>
      <c r="H32" s="21">
        <f t="shared" si="11"/>
        <v>0</v>
      </c>
      <c r="I32" s="21">
        <f t="shared" si="12"/>
        <v>0</v>
      </c>
      <c r="J32" s="22">
        <f t="shared" si="8"/>
        <v>0</v>
      </c>
      <c r="K32" s="53"/>
      <c r="L32" s="54"/>
      <c r="M32" s="54"/>
      <c r="N32" s="54"/>
      <c r="O32" s="54"/>
      <c r="P32" s="55"/>
      <c r="Q32" s="49"/>
      <c r="R32" s="74"/>
      <c r="S32" s="57"/>
      <c r="T32" s="58"/>
    </row>
    <row r="33" spans="1:20">
      <c r="A33" s="49"/>
      <c r="B33" s="15" t="str">
        <f>CONCATENATE("3 кв ",$B$6+4)</f>
        <v>3 кв 2027</v>
      </c>
      <c r="C33" s="21">
        <f t="shared" si="2"/>
        <v>0</v>
      </c>
      <c r="D33" s="16">
        <f t="shared" si="0"/>
        <v>0</v>
      </c>
      <c r="E33" s="20">
        <f t="shared" si="13"/>
        <v>0</v>
      </c>
      <c r="F33" s="21">
        <f t="shared" si="9"/>
        <v>0</v>
      </c>
      <c r="G33" s="21">
        <f t="shared" si="10"/>
        <v>0</v>
      </c>
      <c r="H33" s="21">
        <f t="shared" si="11"/>
        <v>0</v>
      </c>
      <c r="I33" s="21">
        <f t="shared" si="12"/>
        <v>0</v>
      </c>
      <c r="J33" s="22">
        <f t="shared" si="8"/>
        <v>0</v>
      </c>
      <c r="K33" s="53"/>
      <c r="L33" s="54"/>
      <c r="M33" s="54"/>
      <c r="N33" s="54"/>
      <c r="O33" s="54"/>
      <c r="P33" s="55"/>
      <c r="Q33" s="49"/>
      <c r="R33" s="74"/>
      <c r="S33" s="57"/>
      <c r="T33" s="58"/>
    </row>
    <row r="34" spans="1:20" ht="13.8" thickBot="1">
      <c r="A34" s="52"/>
      <c r="B34" s="15" t="str">
        <f>CONCATENATE("4 кв ",$B$6+4)</f>
        <v>4 кв 2027</v>
      </c>
      <c r="C34" s="32">
        <f t="shared" si="2"/>
        <v>0</v>
      </c>
      <c r="D34" s="30">
        <f t="shared" si="0"/>
        <v>0</v>
      </c>
      <c r="E34" s="31">
        <f t="shared" si="13"/>
        <v>0</v>
      </c>
      <c r="F34" s="32">
        <f t="shared" si="9"/>
        <v>0</v>
      </c>
      <c r="G34" s="32">
        <f t="shared" si="10"/>
        <v>0</v>
      </c>
      <c r="H34" s="32">
        <f t="shared" si="11"/>
        <v>0</v>
      </c>
      <c r="I34" s="32">
        <f t="shared" si="12"/>
        <v>0</v>
      </c>
      <c r="J34" s="38">
        <f t="shared" si="8"/>
        <v>0</v>
      </c>
      <c r="K34" s="75"/>
      <c r="L34" s="76"/>
      <c r="M34" s="76"/>
      <c r="N34" s="76"/>
      <c r="O34" s="76"/>
      <c r="P34" s="77"/>
      <c r="Q34" s="52"/>
      <c r="R34" s="78"/>
      <c r="S34" s="79"/>
      <c r="T34" s="80"/>
    </row>
    <row r="35" spans="1:20" ht="13.8" thickTop="1">
      <c r="A35" s="51"/>
      <c r="B35" s="15" t="str">
        <f>CONCATENATE("1 кв ",$B$6+5)</f>
        <v>1 кв 2028</v>
      </c>
      <c r="C35" s="35">
        <f t="shared" si="2"/>
        <v>0</v>
      </c>
      <c r="D35" s="27">
        <f t="shared" si="0"/>
        <v>0</v>
      </c>
      <c r="E35" s="34">
        <f t="shared" si="13"/>
        <v>0</v>
      </c>
      <c r="F35" s="35">
        <f t="shared" si="9"/>
        <v>0</v>
      </c>
      <c r="G35" s="35">
        <f t="shared" si="10"/>
        <v>0</v>
      </c>
      <c r="H35" s="35">
        <f t="shared" si="11"/>
        <v>0</v>
      </c>
      <c r="I35" s="35">
        <f t="shared" si="12"/>
        <v>0</v>
      </c>
      <c r="J35" s="37">
        <f t="shared" si="8"/>
        <v>0</v>
      </c>
      <c r="K35" s="89"/>
      <c r="L35" s="82"/>
      <c r="M35" s="82"/>
      <c r="N35" s="82"/>
      <c r="O35" s="82"/>
      <c r="P35" s="83"/>
      <c r="Q35" s="84"/>
      <c r="R35" s="85"/>
      <c r="S35" s="86"/>
      <c r="T35" s="87"/>
    </row>
    <row r="36" spans="1:20">
      <c r="A36" s="49"/>
      <c r="B36" s="15" t="str">
        <f>CONCATENATE("2 кв ",$B$6+5)</f>
        <v>2 кв 2028</v>
      </c>
      <c r="C36" s="21">
        <f t="shared" si="2"/>
        <v>0</v>
      </c>
      <c r="D36" s="16">
        <f t="shared" si="0"/>
        <v>0</v>
      </c>
      <c r="E36" s="20">
        <f t="shared" si="13"/>
        <v>0</v>
      </c>
      <c r="F36" s="21">
        <f t="shared" si="9"/>
        <v>0</v>
      </c>
      <c r="G36" s="21">
        <f t="shared" si="10"/>
        <v>0</v>
      </c>
      <c r="H36" s="21">
        <f t="shared" si="11"/>
        <v>0</v>
      </c>
      <c r="I36" s="21">
        <f t="shared" si="12"/>
        <v>0</v>
      </c>
      <c r="J36" s="22">
        <f t="shared" si="8"/>
        <v>0</v>
      </c>
      <c r="K36" s="53"/>
      <c r="L36" s="54"/>
      <c r="M36" s="54"/>
      <c r="N36" s="54"/>
      <c r="O36" s="54"/>
      <c r="P36" s="55"/>
      <c r="Q36" s="49"/>
      <c r="R36" s="74"/>
      <c r="S36" s="57"/>
      <c r="T36" s="58"/>
    </row>
    <row r="37" spans="1:20">
      <c r="A37" s="49"/>
      <c r="B37" s="15" t="str">
        <f>CONCATENATE("3 кв ",$B$6+5)</f>
        <v>3 кв 2028</v>
      </c>
      <c r="C37" s="21">
        <f t="shared" si="2"/>
        <v>0</v>
      </c>
      <c r="D37" s="16">
        <f t="shared" si="0"/>
        <v>0</v>
      </c>
      <c r="E37" s="20">
        <f t="shared" si="13"/>
        <v>0</v>
      </c>
      <c r="F37" s="21">
        <f t="shared" si="9"/>
        <v>0</v>
      </c>
      <c r="G37" s="21">
        <f t="shared" si="10"/>
        <v>0</v>
      </c>
      <c r="H37" s="21">
        <f t="shared" si="11"/>
        <v>0</v>
      </c>
      <c r="I37" s="21">
        <f t="shared" si="12"/>
        <v>0</v>
      </c>
      <c r="J37" s="22">
        <f t="shared" si="8"/>
        <v>0</v>
      </c>
      <c r="K37" s="53"/>
      <c r="L37" s="54"/>
      <c r="M37" s="54"/>
      <c r="N37" s="54"/>
      <c r="O37" s="54"/>
      <c r="P37" s="55"/>
      <c r="Q37" s="49"/>
      <c r="R37" s="74"/>
      <c r="S37" s="57"/>
      <c r="T37" s="58"/>
    </row>
    <row r="38" spans="1:20" ht="13.8" thickBot="1">
      <c r="A38" s="52"/>
      <c r="B38" s="15" t="str">
        <f>CONCATENATE("4 кв ",$B$6+5)</f>
        <v>4 кв 2028</v>
      </c>
      <c r="C38" s="32">
        <f t="shared" si="2"/>
        <v>0</v>
      </c>
      <c r="D38" s="30">
        <f t="shared" ref="D38:D69" si="14">C38-K38-L38-P38-Q38-M38-N38-O38</f>
        <v>0</v>
      </c>
      <c r="E38" s="31">
        <f t="shared" si="13"/>
        <v>0</v>
      </c>
      <c r="F38" s="32">
        <f t="shared" si="9"/>
        <v>0</v>
      </c>
      <c r="G38" s="32">
        <f t="shared" si="10"/>
        <v>0</v>
      </c>
      <c r="H38" s="32">
        <f t="shared" si="11"/>
        <v>0</v>
      </c>
      <c r="I38" s="32">
        <f t="shared" si="12"/>
        <v>0</v>
      </c>
      <c r="J38" s="38">
        <f t="shared" si="8"/>
        <v>0</v>
      </c>
      <c r="K38" s="75"/>
      <c r="L38" s="76"/>
      <c r="M38" s="76"/>
      <c r="N38" s="76"/>
      <c r="O38" s="76"/>
      <c r="P38" s="77"/>
      <c r="Q38" s="52"/>
      <c r="R38" s="78"/>
      <c r="S38" s="79"/>
      <c r="T38" s="80"/>
    </row>
    <row r="39" spans="1:20" ht="13.8" thickTop="1">
      <c r="A39" s="51"/>
      <c r="B39" s="15" t="str">
        <f>CONCATENATE("1 кв ",$B$6+6)</f>
        <v>1 кв 2029</v>
      </c>
      <c r="C39" s="35">
        <f t="shared" ref="C39:C70" si="15">IF(D38&lt;0, A39+D38-D38, A39+D38)</f>
        <v>0</v>
      </c>
      <c r="D39" s="27">
        <f t="shared" si="14"/>
        <v>0</v>
      </c>
      <c r="E39" s="34">
        <f t="shared" si="13"/>
        <v>0</v>
      </c>
      <c r="F39" s="35">
        <f t="shared" si="9"/>
        <v>0</v>
      </c>
      <c r="G39" s="35">
        <f t="shared" si="10"/>
        <v>0</v>
      </c>
      <c r="H39" s="35">
        <f t="shared" si="11"/>
        <v>0</v>
      </c>
      <c r="I39" s="35">
        <f t="shared" si="12"/>
        <v>0</v>
      </c>
      <c r="J39" s="37">
        <f t="shared" ref="J39:J70" si="16">IF(S39=1, IF(R39=6, J38+(J38+P39)*$J$4-Q39, J38+(J38+P39)*$J$4), J38+P39)</f>
        <v>0</v>
      </c>
      <c r="K39" s="89"/>
      <c r="L39" s="82"/>
      <c r="M39" s="82"/>
      <c r="N39" s="82"/>
      <c r="O39" s="82"/>
      <c r="P39" s="83"/>
      <c r="Q39" s="84"/>
      <c r="R39" s="85"/>
      <c r="S39" s="86"/>
      <c r="T39" s="87"/>
    </row>
    <row r="40" spans="1:20">
      <c r="A40" s="49"/>
      <c r="B40" s="15" t="str">
        <f>CONCATENATE("2 кв ",$B$6+6)</f>
        <v>2 кв 2029</v>
      </c>
      <c r="C40" s="21">
        <f t="shared" si="15"/>
        <v>0</v>
      </c>
      <c r="D40" s="16">
        <f t="shared" si="14"/>
        <v>0</v>
      </c>
      <c r="E40" s="20">
        <f t="shared" si="13"/>
        <v>0</v>
      </c>
      <c r="F40" s="21">
        <f t="shared" si="9"/>
        <v>0</v>
      </c>
      <c r="G40" s="21">
        <f t="shared" si="10"/>
        <v>0</v>
      </c>
      <c r="H40" s="21">
        <f t="shared" si="11"/>
        <v>0</v>
      </c>
      <c r="I40" s="21">
        <f t="shared" si="12"/>
        <v>0</v>
      </c>
      <c r="J40" s="22">
        <f t="shared" si="16"/>
        <v>0</v>
      </c>
      <c r="K40" s="53"/>
      <c r="L40" s="54"/>
      <c r="M40" s="54"/>
      <c r="N40" s="54"/>
      <c r="O40" s="54"/>
      <c r="P40" s="55"/>
      <c r="Q40" s="49"/>
      <c r="R40" s="74"/>
      <c r="S40" s="57"/>
      <c r="T40" s="58"/>
    </row>
    <row r="41" spans="1:20">
      <c r="A41" s="49"/>
      <c r="B41" s="15" t="str">
        <f>CONCATENATE("3 кв ",$B$6+6)</f>
        <v>3 кв 2029</v>
      </c>
      <c r="C41" s="21">
        <f t="shared" si="15"/>
        <v>0</v>
      </c>
      <c r="D41" s="16">
        <f t="shared" si="14"/>
        <v>0</v>
      </c>
      <c r="E41" s="20">
        <f t="shared" si="13"/>
        <v>0</v>
      </c>
      <c r="F41" s="21">
        <f t="shared" si="9"/>
        <v>0</v>
      </c>
      <c r="G41" s="21">
        <f t="shared" si="10"/>
        <v>0</v>
      </c>
      <c r="H41" s="21">
        <f t="shared" si="11"/>
        <v>0</v>
      </c>
      <c r="I41" s="21">
        <f t="shared" si="12"/>
        <v>0</v>
      </c>
      <c r="J41" s="22">
        <f t="shared" si="16"/>
        <v>0</v>
      </c>
      <c r="K41" s="53"/>
      <c r="L41" s="54"/>
      <c r="M41" s="54"/>
      <c r="N41" s="54"/>
      <c r="O41" s="54"/>
      <c r="P41" s="55"/>
      <c r="Q41" s="49"/>
      <c r="R41" s="74"/>
      <c r="S41" s="57"/>
      <c r="T41" s="58"/>
    </row>
    <row r="42" spans="1:20" ht="13.8" thickBot="1">
      <c r="A42" s="52"/>
      <c r="B42" s="15" t="str">
        <f>CONCATENATE("4 кв ",$B$6+6)</f>
        <v>4 кв 2029</v>
      </c>
      <c r="C42" s="32">
        <f t="shared" si="15"/>
        <v>0</v>
      </c>
      <c r="D42" s="30">
        <f t="shared" si="14"/>
        <v>0</v>
      </c>
      <c r="E42" s="31">
        <f t="shared" si="13"/>
        <v>0</v>
      </c>
      <c r="F42" s="32">
        <f t="shared" si="9"/>
        <v>0</v>
      </c>
      <c r="G42" s="32">
        <f t="shared" si="10"/>
        <v>0</v>
      </c>
      <c r="H42" s="32">
        <f t="shared" si="11"/>
        <v>0</v>
      </c>
      <c r="I42" s="32">
        <f t="shared" si="12"/>
        <v>0</v>
      </c>
      <c r="J42" s="38">
        <f t="shared" si="16"/>
        <v>0</v>
      </c>
      <c r="K42" s="75"/>
      <c r="L42" s="76"/>
      <c r="M42" s="76"/>
      <c r="N42" s="76"/>
      <c r="O42" s="76"/>
      <c r="P42" s="77"/>
      <c r="Q42" s="52"/>
      <c r="R42" s="78"/>
      <c r="S42" s="79"/>
      <c r="T42" s="80"/>
    </row>
    <row r="43" spans="1:20" ht="13.8" thickTop="1">
      <c r="A43" s="51"/>
      <c r="B43" s="15" t="str">
        <f>CONCATENATE("1 кв ",$B$6+7)</f>
        <v>1 кв 2030</v>
      </c>
      <c r="C43" s="35">
        <f t="shared" si="15"/>
        <v>0</v>
      </c>
      <c r="D43" s="27">
        <f t="shared" si="14"/>
        <v>0</v>
      </c>
      <c r="E43" s="34">
        <f t="shared" si="13"/>
        <v>0</v>
      </c>
      <c r="F43" s="35">
        <f t="shared" si="9"/>
        <v>0</v>
      </c>
      <c r="G43" s="35">
        <f t="shared" si="10"/>
        <v>0</v>
      </c>
      <c r="H43" s="35">
        <f t="shared" si="11"/>
        <v>0</v>
      </c>
      <c r="I43" s="35">
        <f t="shared" si="12"/>
        <v>0</v>
      </c>
      <c r="J43" s="37">
        <f t="shared" si="16"/>
        <v>0</v>
      </c>
      <c r="K43" s="89"/>
      <c r="L43" s="82"/>
      <c r="M43" s="82"/>
      <c r="N43" s="82"/>
      <c r="O43" s="82"/>
      <c r="P43" s="83"/>
      <c r="Q43" s="84"/>
      <c r="R43" s="85"/>
      <c r="S43" s="86"/>
      <c r="T43" s="87"/>
    </row>
    <row r="44" spans="1:20">
      <c r="A44" s="49"/>
      <c r="B44" s="15" t="str">
        <f>CONCATENATE("2 кв ",$B$6+7)</f>
        <v>2 кв 2030</v>
      </c>
      <c r="C44" s="21">
        <f t="shared" si="15"/>
        <v>0</v>
      </c>
      <c r="D44" s="16">
        <f t="shared" si="14"/>
        <v>0</v>
      </c>
      <c r="E44" s="20">
        <f t="shared" si="13"/>
        <v>0</v>
      </c>
      <c r="F44" s="21">
        <f t="shared" si="9"/>
        <v>0</v>
      </c>
      <c r="G44" s="21">
        <f t="shared" si="10"/>
        <v>0</v>
      </c>
      <c r="H44" s="21">
        <f t="shared" si="11"/>
        <v>0</v>
      </c>
      <c r="I44" s="21">
        <f t="shared" si="12"/>
        <v>0</v>
      </c>
      <c r="J44" s="22">
        <f t="shared" si="16"/>
        <v>0</v>
      </c>
      <c r="K44" s="53"/>
      <c r="L44" s="54"/>
      <c r="M44" s="54"/>
      <c r="N44" s="54"/>
      <c r="O44" s="54"/>
      <c r="P44" s="55"/>
      <c r="Q44" s="49"/>
      <c r="R44" s="74"/>
      <c r="S44" s="57"/>
      <c r="T44" s="58"/>
    </row>
    <row r="45" spans="1:20">
      <c r="A45" s="49"/>
      <c r="B45" s="15" t="str">
        <f>CONCATENATE("3 кв ",$B$6+7)</f>
        <v>3 кв 2030</v>
      </c>
      <c r="C45" s="21">
        <f t="shared" si="15"/>
        <v>0</v>
      </c>
      <c r="D45" s="16">
        <f t="shared" si="14"/>
        <v>0</v>
      </c>
      <c r="E45" s="20">
        <f t="shared" si="13"/>
        <v>0</v>
      </c>
      <c r="F45" s="21">
        <f t="shared" si="9"/>
        <v>0</v>
      </c>
      <c r="G45" s="21">
        <f t="shared" si="10"/>
        <v>0</v>
      </c>
      <c r="H45" s="21">
        <f t="shared" si="11"/>
        <v>0</v>
      </c>
      <c r="I45" s="21">
        <f t="shared" si="12"/>
        <v>0</v>
      </c>
      <c r="J45" s="22">
        <f t="shared" si="16"/>
        <v>0</v>
      </c>
      <c r="K45" s="53"/>
      <c r="L45" s="54"/>
      <c r="M45" s="54"/>
      <c r="N45" s="54"/>
      <c r="O45" s="54"/>
      <c r="P45" s="55"/>
      <c r="Q45" s="49"/>
      <c r="R45" s="74"/>
      <c r="S45" s="57"/>
      <c r="T45" s="58"/>
    </row>
    <row r="46" spans="1:20" ht="13.8" thickBot="1">
      <c r="A46" s="52"/>
      <c r="B46" s="15" t="str">
        <f>CONCATENATE("4 кв ",$B$6+7)</f>
        <v>4 кв 2030</v>
      </c>
      <c r="C46" s="32">
        <f t="shared" si="15"/>
        <v>0</v>
      </c>
      <c r="D46" s="30">
        <f t="shared" si="14"/>
        <v>0</v>
      </c>
      <c r="E46" s="31">
        <f t="shared" si="13"/>
        <v>0</v>
      </c>
      <c r="F46" s="32">
        <f t="shared" si="9"/>
        <v>0</v>
      </c>
      <c r="G46" s="32">
        <f t="shared" si="10"/>
        <v>0</v>
      </c>
      <c r="H46" s="32">
        <f t="shared" si="11"/>
        <v>0</v>
      </c>
      <c r="I46" s="32">
        <f t="shared" si="12"/>
        <v>0</v>
      </c>
      <c r="J46" s="38">
        <f t="shared" si="16"/>
        <v>0</v>
      </c>
      <c r="K46" s="75"/>
      <c r="L46" s="76"/>
      <c r="M46" s="76"/>
      <c r="N46" s="76"/>
      <c r="O46" s="76"/>
      <c r="P46" s="77"/>
      <c r="Q46" s="52"/>
      <c r="R46" s="78"/>
      <c r="S46" s="79"/>
      <c r="T46" s="80"/>
    </row>
    <row r="47" spans="1:20" ht="13.8" thickTop="1">
      <c r="A47" s="51"/>
      <c r="B47" s="15" t="str">
        <f>CONCATENATE("1 кв ",$B$6+8)</f>
        <v>1 кв 2031</v>
      </c>
      <c r="C47" s="35">
        <f t="shared" si="15"/>
        <v>0</v>
      </c>
      <c r="D47" s="27">
        <f t="shared" si="14"/>
        <v>0</v>
      </c>
      <c r="E47" s="34">
        <f t="shared" si="13"/>
        <v>0</v>
      </c>
      <c r="F47" s="35">
        <f t="shared" si="9"/>
        <v>0</v>
      </c>
      <c r="G47" s="35">
        <f t="shared" si="10"/>
        <v>0</v>
      </c>
      <c r="H47" s="35">
        <f t="shared" si="11"/>
        <v>0</v>
      </c>
      <c r="I47" s="35">
        <f t="shared" si="12"/>
        <v>0</v>
      </c>
      <c r="J47" s="37">
        <f t="shared" si="16"/>
        <v>0</v>
      </c>
      <c r="K47" s="89"/>
      <c r="L47" s="82"/>
      <c r="M47" s="82"/>
      <c r="N47" s="82"/>
      <c r="O47" s="82"/>
      <c r="P47" s="83"/>
      <c r="Q47" s="84"/>
      <c r="R47" s="85"/>
      <c r="S47" s="86"/>
      <c r="T47" s="87"/>
    </row>
    <row r="48" spans="1:20">
      <c r="A48" s="49"/>
      <c r="B48" s="15" t="str">
        <f>CONCATENATE("2 кв ",$B$6+8)</f>
        <v>2 кв 2031</v>
      </c>
      <c r="C48" s="21">
        <f t="shared" si="15"/>
        <v>0</v>
      </c>
      <c r="D48" s="16">
        <f t="shared" si="14"/>
        <v>0</v>
      </c>
      <c r="E48" s="20">
        <f t="shared" si="13"/>
        <v>0</v>
      </c>
      <c r="F48" s="21">
        <f t="shared" si="9"/>
        <v>0</v>
      </c>
      <c r="G48" s="21">
        <f t="shared" si="10"/>
        <v>0</v>
      </c>
      <c r="H48" s="21">
        <f t="shared" si="11"/>
        <v>0</v>
      </c>
      <c r="I48" s="21">
        <f t="shared" si="12"/>
        <v>0</v>
      </c>
      <c r="J48" s="22">
        <f t="shared" si="16"/>
        <v>0</v>
      </c>
      <c r="K48" s="53"/>
      <c r="L48" s="54"/>
      <c r="M48" s="54"/>
      <c r="N48" s="54"/>
      <c r="O48" s="54"/>
      <c r="P48" s="55"/>
      <c r="Q48" s="49"/>
      <c r="R48" s="74"/>
      <c r="S48" s="57"/>
      <c r="T48" s="58"/>
    </row>
    <row r="49" spans="1:20">
      <c r="A49" s="49"/>
      <c r="B49" s="15" t="str">
        <f>CONCATENATE("3 кв ",$B$6+8)</f>
        <v>3 кв 2031</v>
      </c>
      <c r="C49" s="21">
        <f t="shared" si="15"/>
        <v>0</v>
      </c>
      <c r="D49" s="16">
        <f t="shared" si="14"/>
        <v>0</v>
      </c>
      <c r="E49" s="20">
        <f t="shared" si="13"/>
        <v>0</v>
      </c>
      <c r="F49" s="21">
        <f t="shared" si="9"/>
        <v>0</v>
      </c>
      <c r="G49" s="21">
        <f t="shared" si="10"/>
        <v>0</v>
      </c>
      <c r="H49" s="21">
        <f t="shared" si="11"/>
        <v>0</v>
      </c>
      <c r="I49" s="21">
        <f t="shared" si="12"/>
        <v>0</v>
      </c>
      <c r="J49" s="22">
        <f t="shared" si="16"/>
        <v>0</v>
      </c>
      <c r="K49" s="53"/>
      <c r="L49" s="54"/>
      <c r="M49" s="54"/>
      <c r="N49" s="54"/>
      <c r="O49" s="54"/>
      <c r="P49" s="55"/>
      <c r="Q49" s="49"/>
      <c r="R49" s="74"/>
      <c r="S49" s="57"/>
      <c r="T49" s="58"/>
    </row>
    <row r="50" spans="1:20" ht="13.8" thickBot="1">
      <c r="A50" s="52"/>
      <c r="B50" s="15" t="str">
        <f>CONCATENATE("4 кв ",$B$6+8)</f>
        <v>4 кв 2031</v>
      </c>
      <c r="C50" s="32">
        <f t="shared" si="15"/>
        <v>0</v>
      </c>
      <c r="D50" s="30">
        <f t="shared" si="14"/>
        <v>0</v>
      </c>
      <c r="E50" s="31">
        <f t="shared" si="13"/>
        <v>0</v>
      </c>
      <c r="F50" s="32">
        <f t="shared" si="9"/>
        <v>0</v>
      </c>
      <c r="G50" s="32">
        <f t="shared" si="10"/>
        <v>0</v>
      </c>
      <c r="H50" s="32">
        <f t="shared" si="11"/>
        <v>0</v>
      </c>
      <c r="I50" s="32">
        <f t="shared" si="12"/>
        <v>0</v>
      </c>
      <c r="J50" s="38">
        <f t="shared" si="16"/>
        <v>0</v>
      </c>
      <c r="K50" s="75"/>
      <c r="L50" s="76"/>
      <c r="M50" s="76"/>
      <c r="N50" s="76"/>
      <c r="O50" s="76"/>
      <c r="P50" s="77"/>
      <c r="Q50" s="52"/>
      <c r="R50" s="78"/>
      <c r="S50" s="79"/>
      <c r="T50" s="80"/>
    </row>
    <row r="51" spans="1:20" ht="13.8" thickTop="1">
      <c r="A51" s="51"/>
      <c r="B51" s="15" t="str">
        <f>CONCATENATE("1 кв ",$B$6+9)</f>
        <v>1 кв 2032</v>
      </c>
      <c r="C51" s="35">
        <f t="shared" si="15"/>
        <v>0</v>
      </c>
      <c r="D51" s="27">
        <f t="shared" si="14"/>
        <v>0</v>
      </c>
      <c r="E51" s="34">
        <f t="shared" si="13"/>
        <v>0</v>
      </c>
      <c r="F51" s="35">
        <f t="shared" ref="F51:F82" si="17">IF(AND(D51&lt;0, R51=2), F50*(1+$F$4/12)^3+L51+D51, F50*(1+$F$4/12)^3+L51)</f>
        <v>0</v>
      </c>
      <c r="G51" s="35">
        <f t="shared" ref="G51:G82" si="18">IF(AND(D51&lt;0, R51=3), G50*(1+$G$4/12)^3+M51+D51, G50*(1+$G$4/12)^3+M51)</f>
        <v>0</v>
      </c>
      <c r="H51" s="35">
        <f t="shared" ref="H51:H82" si="19">IF(AND(D51&lt;0, R51=4), H50*(1+$H$4/12)^3+N51+D51, H50*(1+$H$4/12)^3+N51)</f>
        <v>0</v>
      </c>
      <c r="I51" s="35">
        <f t="shared" ref="I51:I82" si="20">IF(AND(D51&lt;0, R51=5), I50*(1+$I$4/12)^3+O51+D51, I50*(1+$I$4/12)^3+O51)</f>
        <v>0</v>
      </c>
      <c r="J51" s="37">
        <f t="shared" si="16"/>
        <v>0</v>
      </c>
      <c r="K51" s="89"/>
      <c r="L51" s="82"/>
      <c r="M51" s="82"/>
      <c r="N51" s="82"/>
      <c r="O51" s="82"/>
      <c r="P51" s="83"/>
      <c r="Q51" s="84"/>
      <c r="R51" s="85"/>
      <c r="S51" s="86"/>
      <c r="T51" s="87"/>
    </row>
    <row r="52" spans="1:20">
      <c r="A52" s="49"/>
      <c r="B52" s="15" t="str">
        <f>CONCATENATE("2 кв ",$B$6+9)</f>
        <v>2 кв 2032</v>
      </c>
      <c r="C52" s="21">
        <f t="shared" si="15"/>
        <v>0</v>
      </c>
      <c r="D52" s="16">
        <f t="shared" si="14"/>
        <v>0</v>
      </c>
      <c r="E52" s="20">
        <f t="shared" ref="E52:E83" si="21">IF(AND(D52&lt;0, R52=1), E51+E51*$E$4/4+K52+D52, E51+E51*$E$4/4+K52)</f>
        <v>0</v>
      </c>
      <c r="F52" s="21">
        <f t="shared" si="17"/>
        <v>0</v>
      </c>
      <c r="G52" s="21">
        <f t="shared" si="18"/>
        <v>0</v>
      </c>
      <c r="H52" s="21">
        <f t="shared" si="19"/>
        <v>0</v>
      </c>
      <c r="I52" s="21">
        <f t="shared" si="20"/>
        <v>0</v>
      </c>
      <c r="J52" s="22">
        <f t="shared" si="16"/>
        <v>0</v>
      </c>
      <c r="K52" s="53"/>
      <c r="L52" s="54"/>
      <c r="M52" s="54"/>
      <c r="N52" s="54"/>
      <c r="O52" s="54"/>
      <c r="P52" s="55"/>
      <c r="Q52" s="49"/>
      <c r="R52" s="74"/>
      <c r="S52" s="57"/>
      <c r="T52" s="58"/>
    </row>
    <row r="53" spans="1:20">
      <c r="A53" s="49"/>
      <c r="B53" s="15" t="str">
        <f>CONCATENATE("3 кв ",$B$6+9)</f>
        <v>3 кв 2032</v>
      </c>
      <c r="C53" s="21">
        <f t="shared" si="15"/>
        <v>0</v>
      </c>
      <c r="D53" s="16">
        <f t="shared" si="14"/>
        <v>0</v>
      </c>
      <c r="E53" s="20">
        <f t="shared" si="21"/>
        <v>0</v>
      </c>
      <c r="F53" s="21">
        <f t="shared" si="17"/>
        <v>0</v>
      </c>
      <c r="G53" s="21">
        <f t="shared" si="18"/>
        <v>0</v>
      </c>
      <c r="H53" s="21">
        <f t="shared" si="19"/>
        <v>0</v>
      </c>
      <c r="I53" s="21">
        <f t="shared" si="20"/>
        <v>0</v>
      </c>
      <c r="J53" s="22">
        <f t="shared" si="16"/>
        <v>0</v>
      </c>
      <c r="K53" s="53"/>
      <c r="L53" s="54"/>
      <c r="M53" s="54"/>
      <c r="N53" s="54"/>
      <c r="O53" s="54"/>
      <c r="P53" s="55"/>
      <c r="Q53" s="49"/>
      <c r="R53" s="74"/>
      <c r="S53" s="57"/>
      <c r="T53" s="58"/>
    </row>
    <row r="54" spans="1:20" ht="13.8" thickBot="1">
      <c r="A54" s="52"/>
      <c r="B54" s="15" t="str">
        <f>CONCATENATE("4 кв ",$B$6+9)</f>
        <v>4 кв 2032</v>
      </c>
      <c r="C54" s="32">
        <f t="shared" si="15"/>
        <v>0</v>
      </c>
      <c r="D54" s="30">
        <f t="shared" si="14"/>
        <v>0</v>
      </c>
      <c r="E54" s="31">
        <f t="shared" si="21"/>
        <v>0</v>
      </c>
      <c r="F54" s="32">
        <f t="shared" si="17"/>
        <v>0</v>
      </c>
      <c r="G54" s="32">
        <f t="shared" si="18"/>
        <v>0</v>
      </c>
      <c r="H54" s="32">
        <f t="shared" si="19"/>
        <v>0</v>
      </c>
      <c r="I54" s="32">
        <f t="shared" si="20"/>
        <v>0</v>
      </c>
      <c r="J54" s="38">
        <f t="shared" si="16"/>
        <v>0</v>
      </c>
      <c r="K54" s="75"/>
      <c r="L54" s="76"/>
      <c r="M54" s="76"/>
      <c r="N54" s="76"/>
      <c r="O54" s="76"/>
      <c r="P54" s="77"/>
      <c r="Q54" s="52"/>
      <c r="R54" s="78"/>
      <c r="S54" s="79"/>
      <c r="T54" s="80"/>
    </row>
    <row r="55" spans="1:20" ht="13.8" thickTop="1">
      <c r="A55" s="51"/>
      <c r="B55" s="15" t="str">
        <f>CONCATENATE("1 кв ",$B$6+10)</f>
        <v>1 кв 2033</v>
      </c>
      <c r="C55" s="35">
        <f t="shared" si="15"/>
        <v>0</v>
      </c>
      <c r="D55" s="27">
        <f t="shared" si="14"/>
        <v>0</v>
      </c>
      <c r="E55" s="34">
        <f t="shared" si="21"/>
        <v>0</v>
      </c>
      <c r="F55" s="35">
        <f t="shared" si="17"/>
        <v>0</v>
      </c>
      <c r="G55" s="35">
        <f t="shared" si="18"/>
        <v>0</v>
      </c>
      <c r="H55" s="35">
        <f t="shared" si="19"/>
        <v>0</v>
      </c>
      <c r="I55" s="35">
        <f t="shared" si="20"/>
        <v>0</v>
      </c>
      <c r="J55" s="37">
        <f t="shared" si="16"/>
        <v>0</v>
      </c>
      <c r="K55" s="89"/>
      <c r="L55" s="82"/>
      <c r="M55" s="82"/>
      <c r="N55" s="82"/>
      <c r="O55" s="82"/>
      <c r="P55" s="83"/>
      <c r="Q55" s="84"/>
      <c r="R55" s="85"/>
      <c r="S55" s="86"/>
      <c r="T55" s="87"/>
    </row>
    <row r="56" spans="1:20">
      <c r="A56" s="49"/>
      <c r="B56" s="15" t="str">
        <f>CONCATENATE("2 кв ",$B$6+10)</f>
        <v>2 кв 2033</v>
      </c>
      <c r="C56" s="21">
        <f t="shared" si="15"/>
        <v>0</v>
      </c>
      <c r="D56" s="16">
        <f t="shared" si="14"/>
        <v>0</v>
      </c>
      <c r="E56" s="20">
        <f t="shared" si="21"/>
        <v>0</v>
      </c>
      <c r="F56" s="21">
        <f t="shared" si="17"/>
        <v>0</v>
      </c>
      <c r="G56" s="21">
        <f t="shared" si="18"/>
        <v>0</v>
      </c>
      <c r="H56" s="21">
        <f t="shared" si="19"/>
        <v>0</v>
      </c>
      <c r="I56" s="21">
        <f t="shared" si="20"/>
        <v>0</v>
      </c>
      <c r="J56" s="22">
        <f t="shared" si="16"/>
        <v>0</v>
      </c>
      <c r="K56" s="53"/>
      <c r="L56" s="54"/>
      <c r="M56" s="54"/>
      <c r="N56" s="54"/>
      <c r="O56" s="54"/>
      <c r="P56" s="55"/>
      <c r="Q56" s="49"/>
      <c r="R56" s="74"/>
      <c r="S56" s="57"/>
      <c r="T56" s="58"/>
    </row>
    <row r="57" spans="1:20">
      <c r="A57" s="49"/>
      <c r="B57" s="15" t="str">
        <f>CONCATENATE("3 кв ",$B$6+10)</f>
        <v>3 кв 2033</v>
      </c>
      <c r="C57" s="21">
        <f t="shared" si="15"/>
        <v>0</v>
      </c>
      <c r="D57" s="16">
        <f t="shared" si="14"/>
        <v>0</v>
      </c>
      <c r="E57" s="20">
        <f t="shared" si="21"/>
        <v>0</v>
      </c>
      <c r="F57" s="21">
        <f t="shared" si="17"/>
        <v>0</v>
      </c>
      <c r="G57" s="21">
        <f t="shared" si="18"/>
        <v>0</v>
      </c>
      <c r="H57" s="21">
        <f t="shared" si="19"/>
        <v>0</v>
      </c>
      <c r="I57" s="21">
        <f t="shared" si="20"/>
        <v>0</v>
      </c>
      <c r="J57" s="22">
        <f t="shared" si="16"/>
        <v>0</v>
      </c>
      <c r="K57" s="53"/>
      <c r="L57" s="54"/>
      <c r="M57" s="54"/>
      <c r="N57" s="54"/>
      <c r="O57" s="54"/>
      <c r="P57" s="55"/>
      <c r="Q57" s="49"/>
      <c r="R57" s="74"/>
      <c r="S57" s="57"/>
      <c r="T57" s="58"/>
    </row>
    <row r="58" spans="1:20" ht="13.8" thickBot="1">
      <c r="A58" s="52"/>
      <c r="B58" s="15" t="str">
        <f>CONCATENATE("4 кв ",$B$6+10)</f>
        <v>4 кв 2033</v>
      </c>
      <c r="C58" s="32">
        <f t="shared" si="15"/>
        <v>0</v>
      </c>
      <c r="D58" s="30">
        <f t="shared" si="14"/>
        <v>0</v>
      </c>
      <c r="E58" s="31">
        <f t="shared" si="21"/>
        <v>0</v>
      </c>
      <c r="F58" s="32">
        <f t="shared" si="17"/>
        <v>0</v>
      </c>
      <c r="G58" s="32">
        <f t="shared" si="18"/>
        <v>0</v>
      </c>
      <c r="H58" s="32">
        <f t="shared" si="19"/>
        <v>0</v>
      </c>
      <c r="I58" s="32">
        <f t="shared" si="20"/>
        <v>0</v>
      </c>
      <c r="J58" s="38">
        <f t="shared" si="16"/>
        <v>0</v>
      </c>
      <c r="K58" s="75"/>
      <c r="L58" s="76"/>
      <c r="M58" s="76"/>
      <c r="N58" s="76"/>
      <c r="O58" s="76"/>
      <c r="P58" s="77"/>
      <c r="Q58" s="52"/>
      <c r="R58" s="78"/>
      <c r="S58" s="79"/>
      <c r="T58" s="80"/>
    </row>
    <row r="59" spans="1:20" ht="13.8" thickTop="1">
      <c r="A59" s="51"/>
      <c r="B59" s="15" t="str">
        <f>CONCATENATE("1 кв ",$B$6+11)</f>
        <v>1 кв 2034</v>
      </c>
      <c r="C59" s="35">
        <f t="shared" si="15"/>
        <v>0</v>
      </c>
      <c r="D59" s="27">
        <f t="shared" si="14"/>
        <v>0</v>
      </c>
      <c r="E59" s="34">
        <f t="shared" si="21"/>
        <v>0</v>
      </c>
      <c r="F59" s="35">
        <f t="shared" si="17"/>
        <v>0</v>
      </c>
      <c r="G59" s="35">
        <f t="shared" si="18"/>
        <v>0</v>
      </c>
      <c r="H59" s="35">
        <f t="shared" si="19"/>
        <v>0</v>
      </c>
      <c r="I59" s="35">
        <f t="shared" si="20"/>
        <v>0</v>
      </c>
      <c r="J59" s="37">
        <f t="shared" si="16"/>
        <v>0</v>
      </c>
      <c r="K59" s="89"/>
      <c r="L59" s="82"/>
      <c r="M59" s="82"/>
      <c r="N59" s="82"/>
      <c r="O59" s="82"/>
      <c r="P59" s="83"/>
      <c r="Q59" s="84"/>
      <c r="R59" s="85"/>
      <c r="S59" s="86"/>
      <c r="T59" s="87"/>
    </row>
    <row r="60" spans="1:20">
      <c r="A60" s="49"/>
      <c r="B60" s="15" t="str">
        <f>CONCATENATE("2 кв ",$B$6+11)</f>
        <v>2 кв 2034</v>
      </c>
      <c r="C60" s="21">
        <f t="shared" si="15"/>
        <v>0</v>
      </c>
      <c r="D60" s="16">
        <f t="shared" si="14"/>
        <v>0</v>
      </c>
      <c r="E60" s="20">
        <f t="shared" si="21"/>
        <v>0</v>
      </c>
      <c r="F60" s="21">
        <f t="shared" si="17"/>
        <v>0</v>
      </c>
      <c r="G60" s="21">
        <f t="shared" si="18"/>
        <v>0</v>
      </c>
      <c r="H60" s="21">
        <f t="shared" si="19"/>
        <v>0</v>
      </c>
      <c r="I60" s="21">
        <f t="shared" si="20"/>
        <v>0</v>
      </c>
      <c r="J60" s="22">
        <f t="shared" si="16"/>
        <v>0</v>
      </c>
      <c r="K60" s="53"/>
      <c r="L60" s="54"/>
      <c r="M60" s="54"/>
      <c r="N60" s="54"/>
      <c r="O60" s="54"/>
      <c r="P60" s="55"/>
      <c r="Q60" s="49"/>
      <c r="R60" s="74"/>
      <c r="S60" s="57"/>
      <c r="T60" s="58"/>
    </row>
    <row r="61" spans="1:20">
      <c r="A61" s="49"/>
      <c r="B61" s="15" t="str">
        <f>CONCATENATE("3 кв ",$B$6+11)</f>
        <v>3 кв 2034</v>
      </c>
      <c r="C61" s="21">
        <f t="shared" si="15"/>
        <v>0</v>
      </c>
      <c r="D61" s="16">
        <f t="shared" si="14"/>
        <v>0</v>
      </c>
      <c r="E61" s="20">
        <f t="shared" si="21"/>
        <v>0</v>
      </c>
      <c r="F61" s="21">
        <f t="shared" si="17"/>
        <v>0</v>
      </c>
      <c r="G61" s="21">
        <f t="shared" si="18"/>
        <v>0</v>
      </c>
      <c r="H61" s="21">
        <f t="shared" si="19"/>
        <v>0</v>
      </c>
      <c r="I61" s="21">
        <f t="shared" si="20"/>
        <v>0</v>
      </c>
      <c r="J61" s="22">
        <f t="shared" si="16"/>
        <v>0</v>
      </c>
      <c r="K61" s="53"/>
      <c r="L61" s="54"/>
      <c r="M61" s="54"/>
      <c r="N61" s="54"/>
      <c r="O61" s="54"/>
      <c r="P61" s="55"/>
      <c r="Q61" s="49"/>
      <c r="R61" s="74"/>
      <c r="S61" s="57"/>
      <c r="T61" s="58"/>
    </row>
    <row r="62" spans="1:20" ht="13.8" thickBot="1">
      <c r="A62" s="52"/>
      <c r="B62" s="15" t="str">
        <f>CONCATENATE("4 кв ",$B$6+11)</f>
        <v>4 кв 2034</v>
      </c>
      <c r="C62" s="32">
        <f t="shared" si="15"/>
        <v>0</v>
      </c>
      <c r="D62" s="30">
        <f t="shared" si="14"/>
        <v>0</v>
      </c>
      <c r="E62" s="31">
        <f t="shared" si="21"/>
        <v>0</v>
      </c>
      <c r="F62" s="32">
        <f t="shared" si="17"/>
        <v>0</v>
      </c>
      <c r="G62" s="32">
        <f t="shared" si="18"/>
        <v>0</v>
      </c>
      <c r="H62" s="32">
        <f t="shared" si="19"/>
        <v>0</v>
      </c>
      <c r="I62" s="32">
        <f t="shared" si="20"/>
        <v>0</v>
      </c>
      <c r="J62" s="38">
        <f t="shared" si="16"/>
        <v>0</v>
      </c>
      <c r="K62" s="75"/>
      <c r="L62" s="76"/>
      <c r="M62" s="76"/>
      <c r="N62" s="76"/>
      <c r="O62" s="76"/>
      <c r="P62" s="77"/>
      <c r="Q62" s="52"/>
      <c r="R62" s="78"/>
      <c r="S62" s="79"/>
      <c r="T62" s="80"/>
    </row>
    <row r="63" spans="1:20" ht="13.8" thickTop="1">
      <c r="A63" s="51"/>
      <c r="B63" s="15" t="str">
        <f>CONCATENATE("1 кв ",$B$6+12)</f>
        <v>1 кв 2035</v>
      </c>
      <c r="C63" s="35">
        <f t="shared" si="15"/>
        <v>0</v>
      </c>
      <c r="D63" s="27">
        <f t="shared" si="14"/>
        <v>0</v>
      </c>
      <c r="E63" s="34">
        <f t="shared" si="21"/>
        <v>0</v>
      </c>
      <c r="F63" s="35">
        <f t="shared" si="17"/>
        <v>0</v>
      </c>
      <c r="G63" s="35">
        <f t="shared" si="18"/>
        <v>0</v>
      </c>
      <c r="H63" s="35">
        <f t="shared" si="19"/>
        <v>0</v>
      </c>
      <c r="I63" s="35">
        <f t="shared" si="20"/>
        <v>0</v>
      </c>
      <c r="J63" s="37">
        <f t="shared" si="16"/>
        <v>0</v>
      </c>
      <c r="K63" s="89"/>
      <c r="L63" s="82"/>
      <c r="M63" s="82"/>
      <c r="N63" s="82"/>
      <c r="O63" s="82"/>
      <c r="P63" s="83"/>
      <c r="Q63" s="84"/>
      <c r="R63" s="85"/>
      <c r="S63" s="86"/>
      <c r="T63" s="87"/>
    </row>
    <row r="64" spans="1:20">
      <c r="A64" s="49"/>
      <c r="B64" s="15" t="str">
        <f>CONCATENATE("2 кв ",$B$6+12)</f>
        <v>2 кв 2035</v>
      </c>
      <c r="C64" s="21">
        <f t="shared" si="15"/>
        <v>0</v>
      </c>
      <c r="D64" s="16">
        <f t="shared" si="14"/>
        <v>0</v>
      </c>
      <c r="E64" s="20">
        <f t="shared" si="21"/>
        <v>0</v>
      </c>
      <c r="F64" s="21">
        <f t="shared" si="17"/>
        <v>0</v>
      </c>
      <c r="G64" s="21">
        <f t="shared" si="18"/>
        <v>0</v>
      </c>
      <c r="H64" s="21">
        <f t="shared" si="19"/>
        <v>0</v>
      </c>
      <c r="I64" s="21">
        <f t="shared" si="20"/>
        <v>0</v>
      </c>
      <c r="J64" s="22">
        <f t="shared" si="16"/>
        <v>0</v>
      </c>
      <c r="K64" s="53"/>
      <c r="L64" s="54"/>
      <c r="M64" s="54"/>
      <c r="N64" s="54"/>
      <c r="O64" s="54"/>
      <c r="P64" s="55"/>
      <c r="Q64" s="49"/>
      <c r="R64" s="74"/>
      <c r="S64" s="57"/>
      <c r="T64" s="58"/>
    </row>
    <row r="65" spans="1:20">
      <c r="A65" s="49"/>
      <c r="B65" s="15" t="str">
        <f>CONCATENATE("3 кв ",$B$6+12)</f>
        <v>3 кв 2035</v>
      </c>
      <c r="C65" s="21">
        <f t="shared" si="15"/>
        <v>0</v>
      </c>
      <c r="D65" s="16">
        <f t="shared" si="14"/>
        <v>0</v>
      </c>
      <c r="E65" s="20">
        <f t="shared" si="21"/>
        <v>0</v>
      </c>
      <c r="F65" s="21">
        <f t="shared" si="17"/>
        <v>0</v>
      </c>
      <c r="G65" s="21">
        <f t="shared" si="18"/>
        <v>0</v>
      </c>
      <c r="H65" s="21">
        <f t="shared" si="19"/>
        <v>0</v>
      </c>
      <c r="I65" s="21">
        <f t="shared" si="20"/>
        <v>0</v>
      </c>
      <c r="J65" s="22">
        <f t="shared" si="16"/>
        <v>0</v>
      </c>
      <c r="K65" s="53"/>
      <c r="L65" s="54"/>
      <c r="M65" s="54"/>
      <c r="N65" s="54"/>
      <c r="O65" s="54"/>
      <c r="P65" s="55"/>
      <c r="Q65" s="49"/>
      <c r="R65" s="74"/>
      <c r="S65" s="57"/>
      <c r="T65" s="58"/>
    </row>
    <row r="66" spans="1:20" ht="13.8" thickBot="1">
      <c r="A66" s="52"/>
      <c r="B66" s="15" t="str">
        <f>CONCATENATE("4 кв ",$B$6+12)</f>
        <v>4 кв 2035</v>
      </c>
      <c r="C66" s="32">
        <f t="shared" si="15"/>
        <v>0</v>
      </c>
      <c r="D66" s="30">
        <f t="shared" si="14"/>
        <v>0</v>
      </c>
      <c r="E66" s="31">
        <f t="shared" si="21"/>
        <v>0</v>
      </c>
      <c r="F66" s="32">
        <f t="shared" si="17"/>
        <v>0</v>
      </c>
      <c r="G66" s="32">
        <f t="shared" si="18"/>
        <v>0</v>
      </c>
      <c r="H66" s="32">
        <f t="shared" si="19"/>
        <v>0</v>
      </c>
      <c r="I66" s="32">
        <f t="shared" si="20"/>
        <v>0</v>
      </c>
      <c r="J66" s="38">
        <f t="shared" si="16"/>
        <v>0</v>
      </c>
      <c r="K66" s="75"/>
      <c r="L66" s="76"/>
      <c r="M66" s="76"/>
      <c r="N66" s="76"/>
      <c r="O66" s="76"/>
      <c r="P66" s="77"/>
      <c r="Q66" s="52"/>
      <c r="R66" s="78"/>
      <c r="S66" s="79"/>
      <c r="T66" s="80"/>
    </row>
    <row r="67" spans="1:20" ht="13.8" thickTop="1">
      <c r="A67" s="51"/>
      <c r="B67" s="15" t="str">
        <f>CONCATENATE("1 кв ",$B$6+13)</f>
        <v>1 кв 2036</v>
      </c>
      <c r="C67" s="35">
        <f t="shared" si="15"/>
        <v>0</v>
      </c>
      <c r="D67" s="27">
        <f t="shared" si="14"/>
        <v>0</v>
      </c>
      <c r="E67" s="34">
        <f t="shared" si="21"/>
        <v>0</v>
      </c>
      <c r="F67" s="35">
        <f t="shared" si="17"/>
        <v>0</v>
      </c>
      <c r="G67" s="35">
        <f t="shared" si="18"/>
        <v>0</v>
      </c>
      <c r="H67" s="35">
        <f t="shared" si="19"/>
        <v>0</v>
      </c>
      <c r="I67" s="35">
        <f t="shared" si="20"/>
        <v>0</v>
      </c>
      <c r="J67" s="37">
        <f t="shared" si="16"/>
        <v>0</v>
      </c>
      <c r="K67" s="89"/>
      <c r="L67" s="82"/>
      <c r="M67" s="82"/>
      <c r="N67" s="82"/>
      <c r="O67" s="82"/>
      <c r="P67" s="83"/>
      <c r="Q67" s="84"/>
      <c r="R67" s="85"/>
      <c r="S67" s="86"/>
      <c r="T67" s="87"/>
    </row>
    <row r="68" spans="1:20">
      <c r="A68" s="49"/>
      <c r="B68" s="15" t="str">
        <f>CONCATENATE("2 кв ",$B$6+13)</f>
        <v>2 кв 2036</v>
      </c>
      <c r="C68" s="21">
        <f t="shared" si="15"/>
        <v>0</v>
      </c>
      <c r="D68" s="16">
        <f t="shared" si="14"/>
        <v>0</v>
      </c>
      <c r="E68" s="20">
        <f t="shared" si="21"/>
        <v>0</v>
      </c>
      <c r="F68" s="21">
        <f t="shared" si="17"/>
        <v>0</v>
      </c>
      <c r="G68" s="21">
        <f t="shared" si="18"/>
        <v>0</v>
      </c>
      <c r="H68" s="21">
        <f t="shared" si="19"/>
        <v>0</v>
      </c>
      <c r="I68" s="21">
        <f t="shared" si="20"/>
        <v>0</v>
      </c>
      <c r="J68" s="22">
        <f t="shared" si="16"/>
        <v>0</v>
      </c>
      <c r="K68" s="53"/>
      <c r="L68" s="54"/>
      <c r="M68" s="54"/>
      <c r="N68" s="54"/>
      <c r="O68" s="54"/>
      <c r="P68" s="55"/>
      <c r="Q68" s="49"/>
      <c r="R68" s="74"/>
      <c r="S68" s="57"/>
      <c r="T68" s="58"/>
    </row>
    <row r="69" spans="1:20">
      <c r="A69" s="49"/>
      <c r="B69" s="15" t="str">
        <f>CONCATENATE("3 кв ",$B$6+13)</f>
        <v>3 кв 2036</v>
      </c>
      <c r="C69" s="21">
        <f t="shared" si="15"/>
        <v>0</v>
      </c>
      <c r="D69" s="16">
        <f t="shared" si="14"/>
        <v>0</v>
      </c>
      <c r="E69" s="20">
        <f t="shared" si="21"/>
        <v>0</v>
      </c>
      <c r="F69" s="21">
        <f t="shared" si="17"/>
        <v>0</v>
      </c>
      <c r="G69" s="21">
        <f t="shared" si="18"/>
        <v>0</v>
      </c>
      <c r="H69" s="21">
        <f t="shared" si="19"/>
        <v>0</v>
      </c>
      <c r="I69" s="21">
        <f t="shared" si="20"/>
        <v>0</v>
      </c>
      <c r="J69" s="22">
        <f t="shared" si="16"/>
        <v>0</v>
      </c>
      <c r="K69" s="53"/>
      <c r="L69" s="54"/>
      <c r="M69" s="54"/>
      <c r="N69" s="54"/>
      <c r="O69" s="54"/>
      <c r="P69" s="55"/>
      <c r="Q69" s="49"/>
      <c r="R69" s="74"/>
      <c r="S69" s="57"/>
      <c r="T69" s="58"/>
    </row>
    <row r="70" spans="1:20" ht="13.8" thickBot="1">
      <c r="A70" s="52"/>
      <c r="B70" s="15" t="str">
        <f>CONCATENATE("4 кв ",$B$6+13)</f>
        <v>4 кв 2036</v>
      </c>
      <c r="C70" s="32">
        <f t="shared" si="15"/>
        <v>0</v>
      </c>
      <c r="D70" s="30">
        <f t="shared" ref="D70:D98" si="22">C70-K70-L70-P70-Q70-M70-N70-O70</f>
        <v>0</v>
      </c>
      <c r="E70" s="31">
        <f t="shared" si="21"/>
        <v>0</v>
      </c>
      <c r="F70" s="32">
        <f t="shared" si="17"/>
        <v>0</v>
      </c>
      <c r="G70" s="32">
        <f t="shared" si="18"/>
        <v>0</v>
      </c>
      <c r="H70" s="32">
        <f t="shared" si="19"/>
        <v>0</v>
      </c>
      <c r="I70" s="32">
        <f t="shared" si="20"/>
        <v>0</v>
      </c>
      <c r="J70" s="38">
        <f t="shared" si="16"/>
        <v>0</v>
      </c>
      <c r="K70" s="75"/>
      <c r="L70" s="76"/>
      <c r="M70" s="76"/>
      <c r="N70" s="76"/>
      <c r="O70" s="76"/>
      <c r="P70" s="77"/>
      <c r="Q70" s="52"/>
      <c r="R70" s="78"/>
      <c r="S70" s="79"/>
      <c r="T70" s="80"/>
    </row>
    <row r="71" spans="1:20" ht="13.8" thickTop="1">
      <c r="A71" s="51"/>
      <c r="B71" s="15" t="str">
        <f>CONCATENATE("1 кв ",$B$6+14)</f>
        <v>1 кв 2037</v>
      </c>
      <c r="C71" s="35">
        <f t="shared" ref="C71:C98" si="23">IF(D70&lt;0, A71+D70-D70, A71+D70)</f>
        <v>0</v>
      </c>
      <c r="D71" s="27">
        <f t="shared" si="22"/>
        <v>0</v>
      </c>
      <c r="E71" s="34">
        <f t="shared" si="21"/>
        <v>0</v>
      </c>
      <c r="F71" s="35">
        <f t="shared" si="17"/>
        <v>0</v>
      </c>
      <c r="G71" s="35">
        <f t="shared" si="18"/>
        <v>0</v>
      </c>
      <c r="H71" s="35">
        <f t="shared" si="19"/>
        <v>0</v>
      </c>
      <c r="I71" s="35">
        <f t="shared" si="20"/>
        <v>0</v>
      </c>
      <c r="J71" s="37">
        <f t="shared" ref="J71:J98" si="24">IF(S71=1, IF(R71=6, J70+(J70+P71)*$J$4-Q71, J70+(J70+P71)*$J$4), J70+P71)</f>
        <v>0</v>
      </c>
      <c r="K71" s="89"/>
      <c r="L71" s="82"/>
      <c r="M71" s="82"/>
      <c r="N71" s="82"/>
      <c r="O71" s="82"/>
      <c r="P71" s="83"/>
      <c r="Q71" s="84"/>
      <c r="R71" s="85"/>
      <c r="S71" s="86"/>
      <c r="T71" s="87"/>
    </row>
    <row r="72" spans="1:20">
      <c r="A72" s="49"/>
      <c r="B72" s="15" t="str">
        <f>CONCATENATE("2 кв ",$B$6+14)</f>
        <v>2 кв 2037</v>
      </c>
      <c r="C72" s="21">
        <f t="shared" si="23"/>
        <v>0</v>
      </c>
      <c r="D72" s="16">
        <f t="shared" si="22"/>
        <v>0</v>
      </c>
      <c r="E72" s="20">
        <f t="shared" si="21"/>
        <v>0</v>
      </c>
      <c r="F72" s="21">
        <f t="shared" si="17"/>
        <v>0</v>
      </c>
      <c r="G72" s="21">
        <f t="shared" si="18"/>
        <v>0</v>
      </c>
      <c r="H72" s="21">
        <f t="shared" si="19"/>
        <v>0</v>
      </c>
      <c r="I72" s="21">
        <f t="shared" si="20"/>
        <v>0</v>
      </c>
      <c r="J72" s="22">
        <f t="shared" si="24"/>
        <v>0</v>
      </c>
      <c r="K72" s="53"/>
      <c r="L72" s="54"/>
      <c r="M72" s="54"/>
      <c r="N72" s="54"/>
      <c r="O72" s="54"/>
      <c r="P72" s="55"/>
      <c r="Q72" s="49"/>
      <c r="R72" s="74"/>
      <c r="S72" s="57"/>
      <c r="T72" s="58"/>
    </row>
    <row r="73" spans="1:20">
      <c r="A73" s="49"/>
      <c r="B73" s="15" t="str">
        <f>CONCATENATE("3 кв ",$B$6+14)</f>
        <v>3 кв 2037</v>
      </c>
      <c r="C73" s="21">
        <f t="shared" si="23"/>
        <v>0</v>
      </c>
      <c r="D73" s="16">
        <f t="shared" si="22"/>
        <v>0</v>
      </c>
      <c r="E73" s="20">
        <f t="shared" si="21"/>
        <v>0</v>
      </c>
      <c r="F73" s="21">
        <f t="shared" si="17"/>
        <v>0</v>
      </c>
      <c r="G73" s="21">
        <f t="shared" si="18"/>
        <v>0</v>
      </c>
      <c r="H73" s="21">
        <f t="shared" si="19"/>
        <v>0</v>
      </c>
      <c r="I73" s="21">
        <f t="shared" si="20"/>
        <v>0</v>
      </c>
      <c r="J73" s="22">
        <f t="shared" si="24"/>
        <v>0</v>
      </c>
      <c r="K73" s="53"/>
      <c r="L73" s="54"/>
      <c r="M73" s="54"/>
      <c r="N73" s="54"/>
      <c r="O73" s="54"/>
      <c r="P73" s="55"/>
      <c r="Q73" s="49"/>
      <c r="R73" s="74"/>
      <c r="S73" s="57"/>
      <c r="T73" s="58"/>
    </row>
    <row r="74" spans="1:20" ht="13.8" thickBot="1">
      <c r="A74" s="52"/>
      <c r="B74" s="15" t="str">
        <f>CONCATENATE("4 кв ",$B$6+14)</f>
        <v>4 кв 2037</v>
      </c>
      <c r="C74" s="32">
        <f t="shared" si="23"/>
        <v>0</v>
      </c>
      <c r="D74" s="30">
        <f t="shared" si="22"/>
        <v>0</v>
      </c>
      <c r="E74" s="31">
        <f t="shared" si="21"/>
        <v>0</v>
      </c>
      <c r="F74" s="32">
        <f t="shared" si="17"/>
        <v>0</v>
      </c>
      <c r="G74" s="32">
        <f t="shared" si="18"/>
        <v>0</v>
      </c>
      <c r="H74" s="32">
        <f t="shared" si="19"/>
        <v>0</v>
      </c>
      <c r="I74" s="32">
        <f t="shared" si="20"/>
        <v>0</v>
      </c>
      <c r="J74" s="38">
        <f t="shared" si="24"/>
        <v>0</v>
      </c>
      <c r="K74" s="75"/>
      <c r="L74" s="76"/>
      <c r="M74" s="76"/>
      <c r="N74" s="76"/>
      <c r="O74" s="76"/>
      <c r="P74" s="77"/>
      <c r="Q74" s="52"/>
      <c r="R74" s="78"/>
      <c r="S74" s="79"/>
      <c r="T74" s="80"/>
    </row>
    <row r="75" spans="1:20" ht="13.8" thickTop="1">
      <c r="A75" s="51"/>
      <c r="B75" s="15" t="str">
        <f>CONCATENATE("1 кв ",$B$6+15)</f>
        <v>1 кв 2038</v>
      </c>
      <c r="C75" s="35">
        <f t="shared" si="23"/>
        <v>0</v>
      </c>
      <c r="D75" s="27">
        <f t="shared" si="22"/>
        <v>0</v>
      </c>
      <c r="E75" s="34">
        <f t="shared" si="21"/>
        <v>0</v>
      </c>
      <c r="F75" s="35">
        <f t="shared" si="17"/>
        <v>0</v>
      </c>
      <c r="G75" s="35">
        <f t="shared" si="18"/>
        <v>0</v>
      </c>
      <c r="H75" s="35">
        <f t="shared" si="19"/>
        <v>0</v>
      </c>
      <c r="I75" s="35">
        <f t="shared" si="20"/>
        <v>0</v>
      </c>
      <c r="J75" s="37">
        <f t="shared" si="24"/>
        <v>0</v>
      </c>
      <c r="K75" s="89"/>
      <c r="L75" s="82"/>
      <c r="M75" s="82"/>
      <c r="N75" s="82"/>
      <c r="O75" s="82"/>
      <c r="P75" s="83"/>
      <c r="Q75" s="84"/>
      <c r="R75" s="85"/>
      <c r="S75" s="86"/>
      <c r="T75" s="87"/>
    </row>
    <row r="76" spans="1:20">
      <c r="A76" s="49"/>
      <c r="B76" s="15" t="str">
        <f>CONCATENATE("2 кв ",$B$6+15)</f>
        <v>2 кв 2038</v>
      </c>
      <c r="C76" s="21">
        <f t="shared" si="23"/>
        <v>0</v>
      </c>
      <c r="D76" s="16">
        <f t="shared" si="22"/>
        <v>0</v>
      </c>
      <c r="E76" s="20">
        <f t="shared" si="21"/>
        <v>0</v>
      </c>
      <c r="F76" s="21">
        <f t="shared" si="17"/>
        <v>0</v>
      </c>
      <c r="G76" s="21">
        <f t="shared" si="18"/>
        <v>0</v>
      </c>
      <c r="H76" s="21">
        <f t="shared" si="19"/>
        <v>0</v>
      </c>
      <c r="I76" s="21">
        <f t="shared" si="20"/>
        <v>0</v>
      </c>
      <c r="J76" s="22">
        <f t="shared" si="24"/>
        <v>0</v>
      </c>
      <c r="K76" s="53"/>
      <c r="L76" s="54"/>
      <c r="M76" s="54"/>
      <c r="N76" s="54"/>
      <c r="O76" s="54"/>
      <c r="P76" s="55"/>
      <c r="Q76" s="49"/>
      <c r="R76" s="74"/>
      <c r="S76" s="57"/>
      <c r="T76" s="58"/>
    </row>
    <row r="77" spans="1:20">
      <c r="A77" s="49"/>
      <c r="B77" s="15" t="str">
        <f>CONCATENATE("3 кв ",$B$6+15)</f>
        <v>3 кв 2038</v>
      </c>
      <c r="C77" s="21">
        <f t="shared" si="23"/>
        <v>0</v>
      </c>
      <c r="D77" s="16">
        <f t="shared" si="22"/>
        <v>0</v>
      </c>
      <c r="E77" s="20">
        <f t="shared" si="21"/>
        <v>0</v>
      </c>
      <c r="F77" s="21">
        <f t="shared" si="17"/>
        <v>0</v>
      </c>
      <c r="G77" s="21">
        <f t="shared" si="18"/>
        <v>0</v>
      </c>
      <c r="H77" s="21">
        <f t="shared" si="19"/>
        <v>0</v>
      </c>
      <c r="I77" s="21">
        <f t="shared" si="20"/>
        <v>0</v>
      </c>
      <c r="J77" s="22">
        <f t="shared" si="24"/>
        <v>0</v>
      </c>
      <c r="K77" s="53"/>
      <c r="L77" s="54"/>
      <c r="M77" s="54"/>
      <c r="N77" s="54"/>
      <c r="O77" s="54"/>
      <c r="P77" s="55"/>
      <c r="Q77" s="49"/>
      <c r="R77" s="74"/>
      <c r="S77" s="57"/>
      <c r="T77" s="58"/>
    </row>
    <row r="78" spans="1:20" ht="13.8" thickBot="1">
      <c r="A78" s="49"/>
      <c r="B78" s="15" t="str">
        <f>CONCATENATE("4 кв ",$B$6+15)</f>
        <v>4 кв 2038</v>
      </c>
      <c r="C78" s="32">
        <f t="shared" si="23"/>
        <v>0</v>
      </c>
      <c r="D78" s="30">
        <f t="shared" si="22"/>
        <v>0</v>
      </c>
      <c r="E78" s="31">
        <f t="shared" si="21"/>
        <v>0</v>
      </c>
      <c r="F78" s="32">
        <f t="shared" si="17"/>
        <v>0</v>
      </c>
      <c r="G78" s="32">
        <f t="shared" si="18"/>
        <v>0</v>
      </c>
      <c r="H78" s="32">
        <f t="shared" si="19"/>
        <v>0</v>
      </c>
      <c r="I78" s="32">
        <f t="shared" si="20"/>
        <v>0</v>
      </c>
      <c r="J78" s="38">
        <f t="shared" si="24"/>
        <v>0</v>
      </c>
      <c r="K78" s="75"/>
      <c r="L78" s="76"/>
      <c r="M78" s="76"/>
      <c r="N78" s="76"/>
      <c r="O78" s="76"/>
      <c r="P78" s="77"/>
      <c r="Q78" s="52"/>
      <c r="R78" s="78"/>
      <c r="S78" s="79"/>
      <c r="T78" s="80"/>
    </row>
    <row r="79" spans="1:20" ht="13.8" thickTop="1">
      <c r="A79" s="49"/>
      <c r="B79" s="15" t="str">
        <f>CONCATENATE("1 кв ",$B$6+16)</f>
        <v>1 кв 2039</v>
      </c>
      <c r="C79" s="35">
        <f t="shared" si="23"/>
        <v>0</v>
      </c>
      <c r="D79" s="27">
        <f t="shared" si="22"/>
        <v>0</v>
      </c>
      <c r="E79" s="34">
        <f t="shared" si="21"/>
        <v>0</v>
      </c>
      <c r="F79" s="35">
        <f t="shared" si="17"/>
        <v>0</v>
      </c>
      <c r="G79" s="35">
        <f t="shared" si="18"/>
        <v>0</v>
      </c>
      <c r="H79" s="35">
        <f t="shared" si="19"/>
        <v>0</v>
      </c>
      <c r="I79" s="35">
        <f t="shared" si="20"/>
        <v>0</v>
      </c>
      <c r="J79" s="37">
        <f t="shared" si="24"/>
        <v>0</v>
      </c>
      <c r="K79" s="89"/>
      <c r="L79" s="82"/>
      <c r="M79" s="82"/>
      <c r="N79" s="82"/>
      <c r="O79" s="82"/>
      <c r="P79" s="83"/>
      <c r="Q79" s="84"/>
      <c r="R79" s="85"/>
      <c r="S79" s="86"/>
      <c r="T79" s="87"/>
    </row>
    <row r="80" spans="1:20">
      <c r="A80" s="49"/>
      <c r="B80" s="15" t="str">
        <f>CONCATENATE("2 кв ",$B$6+16)</f>
        <v>2 кв 2039</v>
      </c>
      <c r="C80" s="21">
        <f t="shared" si="23"/>
        <v>0</v>
      </c>
      <c r="D80" s="16">
        <f t="shared" si="22"/>
        <v>0</v>
      </c>
      <c r="E80" s="20">
        <f t="shared" si="21"/>
        <v>0</v>
      </c>
      <c r="F80" s="21">
        <f t="shared" si="17"/>
        <v>0</v>
      </c>
      <c r="G80" s="21">
        <f t="shared" si="18"/>
        <v>0</v>
      </c>
      <c r="H80" s="21">
        <f t="shared" si="19"/>
        <v>0</v>
      </c>
      <c r="I80" s="21">
        <f t="shared" si="20"/>
        <v>0</v>
      </c>
      <c r="J80" s="22">
        <f t="shared" si="24"/>
        <v>0</v>
      </c>
      <c r="K80" s="53"/>
      <c r="L80" s="54"/>
      <c r="M80" s="54"/>
      <c r="N80" s="54"/>
      <c r="O80" s="54"/>
      <c r="P80" s="55"/>
      <c r="Q80" s="49"/>
      <c r="R80" s="74"/>
      <c r="S80" s="57"/>
      <c r="T80" s="58"/>
    </row>
    <row r="81" spans="1:20">
      <c r="A81" s="49"/>
      <c r="B81" s="15" t="str">
        <f>CONCATENATE("3 кв ",$B$6+16)</f>
        <v>3 кв 2039</v>
      </c>
      <c r="C81" s="21">
        <f t="shared" si="23"/>
        <v>0</v>
      </c>
      <c r="D81" s="16">
        <f t="shared" si="22"/>
        <v>0</v>
      </c>
      <c r="E81" s="20">
        <f t="shared" si="21"/>
        <v>0</v>
      </c>
      <c r="F81" s="21">
        <f t="shared" si="17"/>
        <v>0</v>
      </c>
      <c r="G81" s="21">
        <f t="shared" si="18"/>
        <v>0</v>
      </c>
      <c r="H81" s="21">
        <f t="shared" si="19"/>
        <v>0</v>
      </c>
      <c r="I81" s="21">
        <f t="shared" si="20"/>
        <v>0</v>
      </c>
      <c r="J81" s="22">
        <f t="shared" si="24"/>
        <v>0</v>
      </c>
      <c r="K81" s="53"/>
      <c r="L81" s="54"/>
      <c r="M81" s="54"/>
      <c r="N81" s="54"/>
      <c r="O81" s="54"/>
      <c r="P81" s="55"/>
      <c r="Q81" s="49"/>
      <c r="R81" s="74"/>
      <c r="S81" s="57"/>
      <c r="T81" s="58"/>
    </row>
    <row r="82" spans="1:20" ht="13.8" thickBot="1">
      <c r="A82" s="52"/>
      <c r="B82" s="15" t="str">
        <f>CONCATENATE("4 кв ",$B$6+16)</f>
        <v>4 кв 2039</v>
      </c>
      <c r="C82" s="32">
        <f t="shared" si="23"/>
        <v>0</v>
      </c>
      <c r="D82" s="30">
        <f t="shared" si="22"/>
        <v>0</v>
      </c>
      <c r="E82" s="31">
        <f t="shared" si="21"/>
        <v>0</v>
      </c>
      <c r="F82" s="32">
        <f t="shared" si="17"/>
        <v>0</v>
      </c>
      <c r="G82" s="32">
        <f t="shared" si="18"/>
        <v>0</v>
      </c>
      <c r="H82" s="32">
        <f t="shared" si="19"/>
        <v>0</v>
      </c>
      <c r="I82" s="32">
        <f t="shared" si="20"/>
        <v>0</v>
      </c>
      <c r="J82" s="38">
        <f t="shared" si="24"/>
        <v>0</v>
      </c>
      <c r="K82" s="75"/>
      <c r="L82" s="76"/>
      <c r="M82" s="76"/>
      <c r="N82" s="76"/>
      <c r="O82" s="76"/>
      <c r="P82" s="77"/>
      <c r="Q82" s="52"/>
      <c r="R82" s="78"/>
      <c r="S82" s="90"/>
      <c r="T82" s="80"/>
    </row>
    <row r="83" spans="1:20" ht="13.8" thickTop="1">
      <c r="A83" s="51"/>
      <c r="B83" s="15" t="str">
        <f>CONCATENATE("1 кв ",$B$6+17)</f>
        <v>1 кв 2040</v>
      </c>
      <c r="C83" s="35">
        <f t="shared" si="23"/>
        <v>0</v>
      </c>
      <c r="D83" s="27">
        <f t="shared" si="22"/>
        <v>0</v>
      </c>
      <c r="E83" s="34">
        <f t="shared" si="21"/>
        <v>0</v>
      </c>
      <c r="F83" s="35">
        <f t="shared" ref="F83:F98" si="25">IF(AND(D83&lt;0, R83=2), F82*(1+$F$4/12)^3+L83+D83, F82*(1+$F$4/12)^3+L83)</f>
        <v>0</v>
      </c>
      <c r="G83" s="35">
        <f t="shared" ref="G83:G98" si="26">IF(AND(D83&lt;0, R83=3), G82*(1+$G$4/12)^3+M83+D83, G82*(1+$G$4/12)^3+M83)</f>
        <v>0</v>
      </c>
      <c r="H83" s="35">
        <f t="shared" ref="H83:H98" si="27">IF(AND(D83&lt;0, R83=4), H82*(1+$H$4/12)^3+N83+D83, H82*(1+$H$4/12)^3+N83)</f>
        <v>0</v>
      </c>
      <c r="I83" s="35">
        <f t="shared" ref="I83:I98" si="28">IF(AND(D83&lt;0, R83=5), I82*(1+$I$4/12)^3+O83+D83, I82*(1+$I$4/12)^3+O83)</f>
        <v>0</v>
      </c>
      <c r="J83" s="37">
        <f t="shared" si="24"/>
        <v>0</v>
      </c>
      <c r="K83" s="89"/>
      <c r="L83" s="82"/>
      <c r="M83" s="82"/>
      <c r="N83" s="82"/>
      <c r="O83" s="82"/>
      <c r="P83" s="83"/>
      <c r="Q83" s="84"/>
      <c r="R83" s="85"/>
      <c r="S83" s="86"/>
      <c r="T83" s="87"/>
    </row>
    <row r="84" spans="1:20">
      <c r="A84" s="49"/>
      <c r="B84" s="15" t="str">
        <f>CONCATENATE("2 кв ",$B$6+17)</f>
        <v>2 кв 2040</v>
      </c>
      <c r="C84" s="21">
        <f t="shared" si="23"/>
        <v>0</v>
      </c>
      <c r="D84" s="16">
        <f t="shared" si="22"/>
        <v>0</v>
      </c>
      <c r="E84" s="20">
        <f t="shared" ref="E84:E98" si="29">IF(AND(D84&lt;0, R84=1), E83+E83*$E$4/4+K84+D84, E83+E83*$E$4/4+K84)</f>
        <v>0</v>
      </c>
      <c r="F84" s="21">
        <f t="shared" si="25"/>
        <v>0</v>
      </c>
      <c r="G84" s="21">
        <f t="shared" si="26"/>
        <v>0</v>
      </c>
      <c r="H84" s="21">
        <f t="shared" si="27"/>
        <v>0</v>
      </c>
      <c r="I84" s="21">
        <f t="shared" si="28"/>
        <v>0</v>
      </c>
      <c r="J84" s="22">
        <f t="shared" si="24"/>
        <v>0</v>
      </c>
      <c r="K84" s="53"/>
      <c r="L84" s="54"/>
      <c r="M84" s="54"/>
      <c r="N84" s="54"/>
      <c r="O84" s="54"/>
      <c r="P84" s="55"/>
      <c r="Q84" s="49"/>
      <c r="R84" s="74"/>
      <c r="S84" s="57"/>
      <c r="T84" s="58"/>
    </row>
    <row r="85" spans="1:20">
      <c r="A85" s="49"/>
      <c r="B85" s="15" t="str">
        <f>CONCATENATE("3 кв ",$B$6+17)</f>
        <v>3 кв 2040</v>
      </c>
      <c r="C85" s="21">
        <f t="shared" si="23"/>
        <v>0</v>
      </c>
      <c r="D85" s="16">
        <f t="shared" si="22"/>
        <v>0</v>
      </c>
      <c r="E85" s="20">
        <f t="shared" si="29"/>
        <v>0</v>
      </c>
      <c r="F85" s="21">
        <f t="shared" si="25"/>
        <v>0</v>
      </c>
      <c r="G85" s="21">
        <f t="shared" si="26"/>
        <v>0</v>
      </c>
      <c r="H85" s="21">
        <f t="shared" si="27"/>
        <v>0</v>
      </c>
      <c r="I85" s="21">
        <f t="shared" si="28"/>
        <v>0</v>
      </c>
      <c r="J85" s="22">
        <f t="shared" si="24"/>
        <v>0</v>
      </c>
      <c r="K85" s="53"/>
      <c r="L85" s="54"/>
      <c r="M85" s="54"/>
      <c r="N85" s="54"/>
      <c r="O85" s="54"/>
      <c r="P85" s="55"/>
      <c r="Q85" s="49"/>
      <c r="R85" s="74"/>
      <c r="S85" s="57"/>
      <c r="T85" s="58"/>
    </row>
    <row r="86" spans="1:20" ht="13.8" thickBot="1">
      <c r="A86" s="52"/>
      <c r="B86" s="15" t="str">
        <f>CONCATENATE("4 кв ",$B$6+17)</f>
        <v>4 кв 2040</v>
      </c>
      <c r="C86" s="32">
        <f t="shared" si="23"/>
        <v>0</v>
      </c>
      <c r="D86" s="30">
        <f t="shared" si="22"/>
        <v>0</v>
      </c>
      <c r="E86" s="31">
        <f t="shared" si="29"/>
        <v>0</v>
      </c>
      <c r="F86" s="32">
        <f t="shared" si="25"/>
        <v>0</v>
      </c>
      <c r="G86" s="32">
        <f t="shared" si="26"/>
        <v>0</v>
      </c>
      <c r="H86" s="32">
        <f t="shared" si="27"/>
        <v>0</v>
      </c>
      <c r="I86" s="32">
        <f t="shared" si="28"/>
        <v>0</v>
      </c>
      <c r="J86" s="38">
        <f t="shared" si="24"/>
        <v>0</v>
      </c>
      <c r="K86" s="75"/>
      <c r="L86" s="76"/>
      <c r="M86" s="76"/>
      <c r="N86" s="76"/>
      <c r="O86" s="76"/>
      <c r="P86" s="77"/>
      <c r="Q86" s="52"/>
      <c r="R86" s="78"/>
      <c r="S86" s="79"/>
      <c r="T86" s="80"/>
    </row>
    <row r="87" spans="1:20" ht="13.8" thickTop="1">
      <c r="A87" s="51"/>
      <c r="B87" s="15" t="str">
        <f>CONCATENATE("1 кв ",$B$6+18)</f>
        <v>1 кв 2041</v>
      </c>
      <c r="C87" s="35">
        <f t="shared" si="23"/>
        <v>0</v>
      </c>
      <c r="D87" s="27">
        <f t="shared" si="22"/>
        <v>0</v>
      </c>
      <c r="E87" s="34">
        <f t="shared" si="29"/>
        <v>0</v>
      </c>
      <c r="F87" s="35">
        <f t="shared" si="25"/>
        <v>0</v>
      </c>
      <c r="G87" s="35">
        <f t="shared" si="26"/>
        <v>0</v>
      </c>
      <c r="H87" s="35">
        <f t="shared" si="27"/>
        <v>0</v>
      </c>
      <c r="I87" s="35">
        <f t="shared" si="28"/>
        <v>0</v>
      </c>
      <c r="J87" s="37">
        <f t="shared" si="24"/>
        <v>0</v>
      </c>
      <c r="K87" s="89"/>
      <c r="L87" s="82"/>
      <c r="M87" s="82"/>
      <c r="N87" s="82"/>
      <c r="O87" s="82"/>
      <c r="P87" s="83"/>
      <c r="Q87" s="84"/>
      <c r="R87" s="85"/>
      <c r="S87" s="86"/>
      <c r="T87" s="87"/>
    </row>
    <row r="88" spans="1:20">
      <c r="A88" s="49"/>
      <c r="B88" s="15" t="str">
        <f>CONCATENATE("2 кв ",$B$6+18)</f>
        <v>2 кв 2041</v>
      </c>
      <c r="C88" s="21">
        <f t="shared" si="23"/>
        <v>0</v>
      </c>
      <c r="D88" s="16">
        <f t="shared" si="22"/>
        <v>0</v>
      </c>
      <c r="E88" s="20">
        <f t="shared" si="29"/>
        <v>0</v>
      </c>
      <c r="F88" s="21">
        <f t="shared" si="25"/>
        <v>0</v>
      </c>
      <c r="G88" s="21">
        <f t="shared" si="26"/>
        <v>0</v>
      </c>
      <c r="H88" s="21">
        <f t="shared" si="27"/>
        <v>0</v>
      </c>
      <c r="I88" s="21">
        <f t="shared" si="28"/>
        <v>0</v>
      </c>
      <c r="J88" s="22">
        <f t="shared" si="24"/>
        <v>0</v>
      </c>
      <c r="K88" s="53"/>
      <c r="L88" s="54"/>
      <c r="M88" s="54"/>
      <c r="N88" s="54"/>
      <c r="O88" s="54"/>
      <c r="P88" s="55"/>
      <c r="Q88" s="49"/>
      <c r="R88" s="74"/>
      <c r="S88" s="57"/>
      <c r="T88" s="58"/>
    </row>
    <row r="89" spans="1:20">
      <c r="A89" s="49"/>
      <c r="B89" s="15" t="str">
        <f>CONCATENATE("3 кв ",$B$6+18)</f>
        <v>3 кв 2041</v>
      </c>
      <c r="C89" s="21">
        <f t="shared" si="23"/>
        <v>0</v>
      </c>
      <c r="D89" s="16">
        <f t="shared" si="22"/>
        <v>0</v>
      </c>
      <c r="E89" s="20">
        <f t="shared" si="29"/>
        <v>0</v>
      </c>
      <c r="F89" s="21">
        <f t="shared" si="25"/>
        <v>0</v>
      </c>
      <c r="G89" s="21">
        <f t="shared" si="26"/>
        <v>0</v>
      </c>
      <c r="H89" s="21">
        <f t="shared" si="27"/>
        <v>0</v>
      </c>
      <c r="I89" s="21">
        <f t="shared" si="28"/>
        <v>0</v>
      </c>
      <c r="J89" s="22">
        <f t="shared" si="24"/>
        <v>0</v>
      </c>
      <c r="K89" s="53"/>
      <c r="L89" s="54"/>
      <c r="M89" s="54"/>
      <c r="N89" s="54"/>
      <c r="O89" s="54"/>
      <c r="P89" s="55"/>
      <c r="Q89" s="49"/>
      <c r="R89" s="74"/>
      <c r="S89" s="57"/>
      <c r="T89" s="58"/>
    </row>
    <row r="90" spans="1:20" ht="13.8" thickBot="1">
      <c r="A90" s="52"/>
      <c r="B90" s="15" t="str">
        <f>CONCATENATE("4 кв ",$B$6+18)</f>
        <v>4 кв 2041</v>
      </c>
      <c r="C90" s="32">
        <f t="shared" si="23"/>
        <v>0</v>
      </c>
      <c r="D90" s="30">
        <f t="shared" si="22"/>
        <v>0</v>
      </c>
      <c r="E90" s="31">
        <f t="shared" si="29"/>
        <v>0</v>
      </c>
      <c r="F90" s="32">
        <f t="shared" si="25"/>
        <v>0</v>
      </c>
      <c r="G90" s="32">
        <f t="shared" si="26"/>
        <v>0</v>
      </c>
      <c r="H90" s="32">
        <f t="shared" si="27"/>
        <v>0</v>
      </c>
      <c r="I90" s="32">
        <f t="shared" si="28"/>
        <v>0</v>
      </c>
      <c r="J90" s="38">
        <f t="shared" si="24"/>
        <v>0</v>
      </c>
      <c r="K90" s="75"/>
      <c r="L90" s="76"/>
      <c r="M90" s="76"/>
      <c r="N90" s="76"/>
      <c r="O90" s="76"/>
      <c r="P90" s="77"/>
      <c r="Q90" s="52"/>
      <c r="R90" s="78"/>
      <c r="S90" s="79"/>
      <c r="T90" s="80"/>
    </row>
    <row r="91" spans="1:20" ht="13.8" thickTop="1">
      <c r="A91" s="51"/>
      <c r="B91" s="15" t="str">
        <f>CONCATENATE("1 кв ",$B$6+19)</f>
        <v>1 кв 2042</v>
      </c>
      <c r="C91" s="35">
        <f t="shared" si="23"/>
        <v>0</v>
      </c>
      <c r="D91" s="27">
        <f t="shared" si="22"/>
        <v>0</v>
      </c>
      <c r="E91" s="34">
        <f t="shared" si="29"/>
        <v>0</v>
      </c>
      <c r="F91" s="35">
        <f t="shared" si="25"/>
        <v>0</v>
      </c>
      <c r="G91" s="35">
        <f t="shared" si="26"/>
        <v>0</v>
      </c>
      <c r="H91" s="35">
        <f t="shared" si="27"/>
        <v>0</v>
      </c>
      <c r="I91" s="35">
        <f t="shared" si="28"/>
        <v>0</v>
      </c>
      <c r="J91" s="37">
        <f t="shared" si="24"/>
        <v>0</v>
      </c>
      <c r="K91" s="89"/>
      <c r="L91" s="82"/>
      <c r="M91" s="82"/>
      <c r="N91" s="82"/>
      <c r="O91" s="82"/>
      <c r="P91" s="83"/>
      <c r="Q91" s="84"/>
      <c r="R91" s="85"/>
      <c r="S91" s="86"/>
      <c r="T91" s="87"/>
    </row>
    <row r="92" spans="1:20">
      <c r="A92" s="49"/>
      <c r="B92" s="15" t="str">
        <f>CONCATENATE("2 кв ",$B$6+19)</f>
        <v>2 кв 2042</v>
      </c>
      <c r="C92" s="21">
        <f t="shared" si="23"/>
        <v>0</v>
      </c>
      <c r="D92" s="16">
        <f t="shared" si="22"/>
        <v>0</v>
      </c>
      <c r="E92" s="20">
        <f t="shared" si="29"/>
        <v>0</v>
      </c>
      <c r="F92" s="21">
        <f t="shared" si="25"/>
        <v>0</v>
      </c>
      <c r="G92" s="21">
        <f t="shared" si="26"/>
        <v>0</v>
      </c>
      <c r="H92" s="21">
        <f t="shared" si="27"/>
        <v>0</v>
      </c>
      <c r="I92" s="21">
        <f t="shared" si="28"/>
        <v>0</v>
      </c>
      <c r="J92" s="22">
        <f t="shared" si="24"/>
        <v>0</v>
      </c>
      <c r="K92" s="53"/>
      <c r="L92" s="54"/>
      <c r="M92" s="54"/>
      <c r="N92" s="54"/>
      <c r="O92" s="54"/>
      <c r="P92" s="55"/>
      <c r="Q92" s="49"/>
      <c r="R92" s="74"/>
      <c r="S92" s="57"/>
      <c r="T92" s="58"/>
    </row>
    <row r="93" spans="1:20">
      <c r="A93" s="49"/>
      <c r="B93" s="15" t="str">
        <f>CONCATENATE("3 кв ",$B$6+19)</f>
        <v>3 кв 2042</v>
      </c>
      <c r="C93" s="21">
        <f t="shared" si="23"/>
        <v>0</v>
      </c>
      <c r="D93" s="16">
        <f t="shared" si="22"/>
        <v>0</v>
      </c>
      <c r="E93" s="20">
        <f t="shared" si="29"/>
        <v>0</v>
      </c>
      <c r="F93" s="21">
        <f t="shared" si="25"/>
        <v>0</v>
      </c>
      <c r="G93" s="21">
        <f t="shared" si="26"/>
        <v>0</v>
      </c>
      <c r="H93" s="21">
        <f t="shared" si="27"/>
        <v>0</v>
      </c>
      <c r="I93" s="21">
        <f t="shared" si="28"/>
        <v>0</v>
      </c>
      <c r="J93" s="22">
        <f t="shared" si="24"/>
        <v>0</v>
      </c>
      <c r="K93" s="53"/>
      <c r="L93" s="54"/>
      <c r="M93" s="54"/>
      <c r="N93" s="54"/>
      <c r="O93" s="54"/>
      <c r="P93" s="55"/>
      <c r="Q93" s="49"/>
      <c r="R93" s="74"/>
      <c r="S93" s="57"/>
      <c r="T93" s="58"/>
    </row>
    <row r="94" spans="1:20" ht="13.8" thickBot="1">
      <c r="A94" s="52"/>
      <c r="B94" s="15" t="str">
        <f>CONCATENATE("4 кв ",$B$6+19)</f>
        <v>4 кв 2042</v>
      </c>
      <c r="C94" s="32">
        <f t="shared" si="23"/>
        <v>0</v>
      </c>
      <c r="D94" s="30">
        <f t="shared" si="22"/>
        <v>0</v>
      </c>
      <c r="E94" s="31">
        <f t="shared" si="29"/>
        <v>0</v>
      </c>
      <c r="F94" s="32">
        <f t="shared" si="25"/>
        <v>0</v>
      </c>
      <c r="G94" s="32">
        <f t="shared" si="26"/>
        <v>0</v>
      </c>
      <c r="H94" s="32">
        <f t="shared" si="27"/>
        <v>0</v>
      </c>
      <c r="I94" s="32">
        <f t="shared" si="28"/>
        <v>0</v>
      </c>
      <c r="J94" s="38">
        <f t="shared" si="24"/>
        <v>0</v>
      </c>
      <c r="K94" s="75"/>
      <c r="L94" s="76"/>
      <c r="M94" s="76"/>
      <c r="N94" s="76"/>
      <c r="O94" s="76"/>
      <c r="P94" s="77"/>
      <c r="Q94" s="52"/>
      <c r="R94" s="78"/>
      <c r="S94" s="79"/>
      <c r="T94" s="80"/>
    </row>
    <row r="95" spans="1:20" ht="13.8" thickTop="1">
      <c r="A95" s="51"/>
      <c r="B95" s="15" t="str">
        <f>CONCATENATE("1 кв ",$B$6+20)</f>
        <v>1 кв 2043</v>
      </c>
      <c r="C95" s="18">
        <f t="shared" si="23"/>
        <v>0</v>
      </c>
      <c r="D95" s="27">
        <f t="shared" si="22"/>
        <v>0</v>
      </c>
      <c r="E95" s="17">
        <f t="shared" si="29"/>
        <v>0</v>
      </c>
      <c r="F95" s="18">
        <f t="shared" si="25"/>
        <v>0</v>
      </c>
      <c r="G95" s="18">
        <f t="shared" si="26"/>
        <v>0</v>
      </c>
      <c r="H95" s="18">
        <f t="shared" si="27"/>
        <v>0</v>
      </c>
      <c r="I95" s="18">
        <f t="shared" si="28"/>
        <v>0</v>
      </c>
      <c r="J95" s="37">
        <f t="shared" si="24"/>
        <v>0</v>
      </c>
      <c r="K95" s="89"/>
      <c r="L95" s="82"/>
      <c r="M95" s="82"/>
      <c r="N95" s="82"/>
      <c r="O95" s="82"/>
      <c r="P95" s="91"/>
      <c r="Q95" s="51"/>
      <c r="R95" s="92"/>
      <c r="S95" s="93"/>
      <c r="T95" s="94"/>
    </row>
    <row r="96" spans="1:20">
      <c r="A96" s="49"/>
      <c r="B96" s="15" t="str">
        <f>CONCATENATE("2 кв ",$B$6+20)</f>
        <v>2 кв 2043</v>
      </c>
      <c r="C96" s="21">
        <f t="shared" si="23"/>
        <v>0</v>
      </c>
      <c r="D96" s="16">
        <f t="shared" si="22"/>
        <v>0</v>
      </c>
      <c r="E96" s="20">
        <f t="shared" si="29"/>
        <v>0</v>
      </c>
      <c r="F96" s="21">
        <f t="shared" si="25"/>
        <v>0</v>
      </c>
      <c r="G96" s="21">
        <f t="shared" si="26"/>
        <v>0</v>
      </c>
      <c r="H96" s="21">
        <f t="shared" si="27"/>
        <v>0</v>
      </c>
      <c r="I96" s="21">
        <f t="shared" si="28"/>
        <v>0</v>
      </c>
      <c r="J96" s="22">
        <f t="shared" si="24"/>
        <v>0</v>
      </c>
      <c r="K96" s="53"/>
      <c r="L96" s="54"/>
      <c r="M96" s="54"/>
      <c r="N96" s="54"/>
      <c r="O96" s="54"/>
      <c r="P96" s="55"/>
      <c r="Q96" s="49"/>
      <c r="R96" s="74"/>
      <c r="S96" s="57"/>
      <c r="T96" s="58"/>
    </row>
    <row r="97" spans="1:20">
      <c r="A97" s="49"/>
      <c r="B97" s="15" t="str">
        <f>CONCATENATE("3 кв ",$B$6+20)</f>
        <v>3 кв 2043</v>
      </c>
      <c r="C97" s="21">
        <f t="shared" si="23"/>
        <v>0</v>
      </c>
      <c r="D97" s="16">
        <f t="shared" si="22"/>
        <v>0</v>
      </c>
      <c r="E97" s="20">
        <f t="shared" si="29"/>
        <v>0</v>
      </c>
      <c r="F97" s="21">
        <f t="shared" si="25"/>
        <v>0</v>
      </c>
      <c r="G97" s="21">
        <f t="shared" si="26"/>
        <v>0</v>
      </c>
      <c r="H97" s="21">
        <f t="shared" si="27"/>
        <v>0</v>
      </c>
      <c r="I97" s="21">
        <f t="shared" si="28"/>
        <v>0</v>
      </c>
      <c r="J97" s="22">
        <f t="shared" si="24"/>
        <v>0</v>
      </c>
      <c r="K97" s="53"/>
      <c r="L97" s="54"/>
      <c r="M97" s="54"/>
      <c r="N97" s="54"/>
      <c r="O97" s="54"/>
      <c r="P97" s="55"/>
      <c r="Q97" s="49"/>
      <c r="R97" s="74"/>
      <c r="S97" s="57"/>
      <c r="T97" s="58"/>
    </row>
    <row r="98" spans="1:20" ht="13.8" thickBot="1">
      <c r="A98" s="49"/>
      <c r="B98" s="15" t="str">
        <f>CONCATENATE("4 кв ",$B$6+20)</f>
        <v>4 кв 2043</v>
      </c>
      <c r="C98" s="25">
        <f t="shared" si="23"/>
        <v>0</v>
      </c>
      <c r="D98" s="23">
        <f t="shared" si="22"/>
        <v>0</v>
      </c>
      <c r="E98" s="24">
        <f t="shared" si="29"/>
        <v>0</v>
      </c>
      <c r="F98" s="25">
        <f t="shared" si="25"/>
        <v>0</v>
      </c>
      <c r="G98" s="25">
        <f t="shared" si="26"/>
        <v>0</v>
      </c>
      <c r="H98" s="25">
        <f t="shared" si="27"/>
        <v>0</v>
      </c>
      <c r="I98" s="25">
        <f t="shared" si="28"/>
        <v>0</v>
      </c>
      <c r="J98" s="39">
        <f t="shared" si="24"/>
        <v>0</v>
      </c>
      <c r="K98" s="95"/>
      <c r="L98" s="54"/>
      <c r="M98" s="54"/>
      <c r="N98" s="54"/>
      <c r="O98" s="54"/>
      <c r="P98" s="96"/>
      <c r="Q98" s="50"/>
      <c r="R98" s="97"/>
      <c r="S98" s="98"/>
      <c r="T98" s="99"/>
    </row>
    <row r="99" spans="1:20" ht="14.4" thickBot="1">
      <c r="A99" s="107"/>
      <c r="B99" s="108"/>
      <c r="C99" s="109"/>
      <c r="D99" s="40"/>
      <c r="E99" s="41">
        <f t="shared" ref="E99:J99" si="30">E98</f>
        <v>0</v>
      </c>
      <c r="F99" s="41">
        <f t="shared" si="30"/>
        <v>0</v>
      </c>
      <c r="G99" s="41">
        <f t="shared" si="30"/>
        <v>0</v>
      </c>
      <c r="H99" s="41">
        <f t="shared" si="30"/>
        <v>0</v>
      </c>
      <c r="I99" s="41">
        <f t="shared" si="30"/>
        <v>0</v>
      </c>
      <c r="J99" s="42">
        <f t="shared" si="30"/>
        <v>0</v>
      </c>
      <c r="K99" s="110">
        <f>SUM(K6:K98)</f>
        <v>0</v>
      </c>
      <c r="L99" s="111">
        <f t="shared" ref="L99:P99" si="31">SUM(L6:L98)</f>
        <v>0</v>
      </c>
      <c r="M99" s="111">
        <f t="shared" si="31"/>
        <v>0</v>
      </c>
      <c r="N99" s="111">
        <f t="shared" si="31"/>
        <v>0</v>
      </c>
      <c r="O99" s="111">
        <f>SUM(O6:O98)</f>
        <v>0</v>
      </c>
      <c r="P99" s="112">
        <f t="shared" si="31"/>
        <v>0</v>
      </c>
      <c r="Q99" s="109"/>
      <c r="R99" s="113"/>
      <c r="S99" s="114"/>
      <c r="T99" s="115"/>
    </row>
    <row r="100" spans="1:20" ht="14.4" thickBot="1">
      <c r="A100" s="107"/>
      <c r="B100" s="108"/>
      <c r="C100" s="109"/>
      <c r="D100" s="43" t="s">
        <v>36</v>
      </c>
      <c r="E100" s="127">
        <f>E99+F99+G99+H99+I99+J99</f>
        <v>0</v>
      </c>
      <c r="F100" s="128"/>
      <c r="G100" s="128"/>
      <c r="H100" s="128"/>
      <c r="I100" s="128"/>
      <c r="J100" s="129"/>
      <c r="K100" s="130">
        <f>SUM(K99:P99)</f>
        <v>0</v>
      </c>
      <c r="L100" s="131"/>
      <c r="M100" s="131"/>
      <c r="N100" s="131"/>
      <c r="O100" s="131"/>
      <c r="P100" s="132"/>
      <c r="Q100" s="109"/>
      <c r="R100" s="113"/>
      <c r="S100" s="114"/>
      <c r="T100" s="115"/>
    </row>
    <row r="101" spans="1:20" ht="13.8">
      <c r="B101" s="10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2"/>
      <c r="S101" s="11"/>
      <c r="T101" s="11"/>
    </row>
  </sheetData>
  <sheetProtection password="CC55" sheet="1" objects="1" scenarios="1" formatColumns="0" sort="0"/>
  <mergeCells count="21">
    <mergeCell ref="E100:J100"/>
    <mergeCell ref="K100:P100"/>
    <mergeCell ref="K5:P5"/>
    <mergeCell ref="E5:J5"/>
    <mergeCell ref="A1:T1"/>
    <mergeCell ref="A2:A4"/>
    <mergeCell ref="K2:P2"/>
    <mergeCell ref="E2:J2"/>
    <mergeCell ref="T2:T4"/>
    <mergeCell ref="S2:S4"/>
    <mergeCell ref="R2:R4"/>
    <mergeCell ref="Q2:Q4"/>
    <mergeCell ref="P3:P4"/>
    <mergeCell ref="O3:O4"/>
    <mergeCell ref="N3:N4"/>
    <mergeCell ref="M3:M4"/>
    <mergeCell ref="L3:L4"/>
    <mergeCell ref="K3:K4"/>
    <mergeCell ref="D2:D4"/>
    <mergeCell ref="C2:C4"/>
    <mergeCell ref="B2:B4"/>
  </mergeCells>
  <conditionalFormatting sqref="F7:F18 F20:F98">
    <cfRule type="cellIs" dxfId="2" priority="3" stopIfTrue="1" operator="lessThan">
      <formula>0</formula>
    </cfRule>
  </conditionalFormatting>
  <conditionalFormatting sqref="D6:D98">
    <cfRule type="cellIs" dxfId="1" priority="2" stopIfTrue="1" operator="lessThan">
      <formula>0</formula>
    </cfRule>
  </conditionalFormatting>
  <conditionalFormatting sqref="E6:E18 E19:F19 E20:E98">
    <cfRule type="cellIs" dxfId="0" priority="1" stopIfTrue="1" operator="lessThan">
      <formula>0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ЛФП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Tsygankova</dc:creator>
  <cp:lastModifiedBy>Tatiana Tsygankova</cp:lastModifiedBy>
  <dcterms:created xsi:type="dcterms:W3CDTF">2024-01-05T16:01:28Z</dcterms:created>
  <dcterms:modified xsi:type="dcterms:W3CDTF">2024-01-05T16:01:28Z</dcterms:modified>
</cp:coreProperties>
</file>